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X:\3. Инженер расчетчик\shara\Объекты\Югорск ПКР\Отправка\"/>
    </mc:Choice>
  </mc:AlternateContent>
  <bookViews>
    <workbookView xWindow="0" yWindow="0" windowWidth="28800" windowHeight="12330" tabRatio="858" activeTab="15"/>
  </bookViews>
  <sheets>
    <sheet name="Руководство" sheetId="67" r:id="rId1"/>
    <sheet name="Население" sheetId="6" r:id="rId2"/>
    <sheet name="Статистика" sheetId="10" r:id="rId3"/>
    <sheet name="Перспективное строительство" sheetId="70" r:id="rId4"/>
    <sheet name="Спрос" sheetId="28" r:id="rId5"/>
    <sheet name="ЦП" sheetId="53" r:id="rId6"/>
    <sheet name="Амортизация" sheetId="64" r:id="rId7"/>
    <sheet name="Перечень инв.проектов ТС" sheetId="69" r:id="rId8"/>
    <sheet name="Перечень инв.проектов ВС" sheetId="54" r:id="rId9"/>
    <sheet name="Перечень инв.проектов ВО" sheetId="55" r:id="rId10"/>
    <sheet name="Перечень инв.проектов ГС" sheetId="58" r:id="rId11"/>
    <sheet name="Перечень инв.проектов ТКО" sheetId="59" r:id="rId12"/>
    <sheet name="Перечень инв.проектов ЭЭ" sheetId="71" r:id="rId13"/>
    <sheet name="Фин.потребности" sheetId="62" r:id="rId14"/>
    <sheet name="Программа инв. проектов" sheetId="61" r:id="rId15"/>
    <sheet name="Доступность" sheetId="6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IntlFixup" hidden="1">TRUE</definedName>
    <definedName name="_Hlk27347241" localSheetId="5">ЦП!#REF!</definedName>
    <definedName name="_Hlk50452309" localSheetId="5">ЦП!#REF!</definedName>
    <definedName name="_Hlk50452325" localSheetId="5">ЦП!#REF!</definedName>
    <definedName name="_Hlk50470165" localSheetId="5">ЦП!#REF!</definedName>
    <definedName name="_Hlk51016260" localSheetId="5">ЦП!#REF!</definedName>
    <definedName name="_Hlk51016286" localSheetId="5">ЦП!#REF!</definedName>
    <definedName name="_Hlk51026209" localSheetId="5">ЦП!#REF!</definedName>
    <definedName name="_Ref23427165" localSheetId="6">Амортизация!#REF!</definedName>
    <definedName name="_xlnm._FilterDatabase" localSheetId="9" hidden="1">'Перечень инв.проектов ВО'!$B$1:$Y$34</definedName>
    <definedName name="_xlnm._FilterDatabase" localSheetId="8" hidden="1">'Перечень инв.проектов ВС'!$A$2:$Y$32</definedName>
    <definedName name="_xlnm._FilterDatabase" localSheetId="10" hidden="1">'Перечень инв.проектов ГС'!$A$1:$AF$21</definedName>
    <definedName name="_xlnm._FilterDatabase" localSheetId="7" hidden="1">'Перечень инв.проектов ТС'!$A$2:$AG$49</definedName>
    <definedName name="_xlnm._FilterDatabase" localSheetId="12" hidden="1">'Перечень инв.проектов ЭЭ'!$A$1:$Z$56</definedName>
    <definedName name="_xlnm._FilterDatabase" localSheetId="3" hidden="1">'Перспективное строительство'!$A$1:$G$87</definedName>
    <definedName name="_xlnm._FilterDatabase" localSheetId="14" hidden="1">'Программа инв. проектов'!$B$1:$T$285</definedName>
    <definedName name="_xlnm._FilterDatabase" localSheetId="13" hidden="1">Фин.потребности!$B$1:$D$124</definedName>
    <definedName name="AccessDatabase" hidden="1">"C:\My Documents\vlad\Var_2\can270398v2t05.mdb"</definedName>
    <definedName name="anscount" hidden="1">1</definedName>
    <definedName name="ghg" localSheetId="7" hidden="1">{#N/A,#N/A,FALSE,"Себестоимсть-97"}</definedName>
    <definedName name="ghg" localSheetId="12" hidden="1">{#N/A,#N/A,FALSE,"Себестоимсть-97"}</definedName>
    <definedName name="ghg" localSheetId="3" hidden="1">{#N/A,#N/A,FALSE,"Себестоимсть-97"}</definedName>
    <definedName name="ghg" hidden="1">{#N/A,#N/A,FALSE,"Себестоимсть-97"}</definedName>
    <definedName name="limcount" hidden="1">1</definedName>
    <definedName name="list_count">[1]TEHSHEET!$R$51:$R$55</definedName>
    <definedName name="list_diametr">[1]TEHSHEET!$U$51:$U$71</definedName>
    <definedName name="list_trub">[1]TEHSHEET!$M$51:$M$52</definedName>
    <definedName name="mmm" localSheetId="7" hidden="1">{#N/A,#N/A,FALSE,"Себестоимсть-97"}</definedName>
    <definedName name="mmm" localSheetId="12" hidden="1">{#N/A,#N/A,FALSE,"Себестоимсть-97"}</definedName>
    <definedName name="mmm" localSheetId="3" hidden="1">{#N/A,#N/A,FALSE,"Себестоимсть-97"}</definedName>
    <definedName name="mmm" hidden="1">{#N/A,#N/A,FALSE,"Себестоимсть-97"}</definedName>
    <definedName name="OLE_LINK6" localSheetId="5">ЦП!#REF!</definedName>
    <definedName name="OLE_LINK7" localSheetId="5">ЦП!#REF!</definedName>
    <definedName name="P1_ESO_PROT" localSheetId="7" hidden="1">#REF!,#REF!,#REF!,#REF!,#REF!,#REF!,#REF!,#REF!</definedName>
    <definedName name="P1_ESO_PROT" localSheetId="3" hidden="1">#REF!,#REF!,#REF!,#REF!,#REF!,#REF!,#REF!,#REF!</definedName>
    <definedName name="P1_ESO_PROT" hidden="1">#REF!,#REF!,#REF!,#REF!,#REF!,#REF!,#REF!,#REF!</definedName>
    <definedName name="P1_SBT_PROT" localSheetId="7" hidden="1">#REF!,#REF!,#REF!,#REF!,#REF!,#REF!,#REF!</definedName>
    <definedName name="P1_SBT_PROT" localSheetId="3" hidden="1">#REF!,#REF!,#REF!,#REF!,#REF!,#REF!,#REF!</definedName>
    <definedName name="P1_SBT_PROT" hidden="1">#REF!,#REF!,#REF!,#REF!,#REF!,#REF!,#REF!</definedName>
    <definedName name="P1_SCOPE_FLOAD" localSheetId="7" hidden="1">#REF!,#REF!,#REF!,#REF!,#REF!,#REF!</definedName>
    <definedName name="P1_SCOPE_FLOAD" localSheetId="3" hidden="1">#REF!,#REF!,#REF!,#REF!,#REF!,#REF!</definedName>
    <definedName name="P1_SCOPE_FLOAD" hidden="1">#REF!,#REF!,#REF!,#REF!,#REF!,#REF!</definedName>
    <definedName name="P1_SCOPE_FRML" localSheetId="7" hidden="1">#REF!,#REF!,#REF!,#REF!,#REF!,#REF!</definedName>
    <definedName name="P1_SCOPE_FRML" localSheetId="3" hidden="1">#REF!,#REF!,#REF!,#REF!,#REF!,#REF!</definedName>
    <definedName name="P1_SCOPE_FRML" hidden="1">#REF!,#REF!,#REF!,#REF!,#REF!,#REF!</definedName>
    <definedName name="P1_SCOPE_PROVER" localSheetId="7" hidden="1">#REF!,#REF!,#REF!,#REF!,#REF!,#REF!</definedName>
    <definedName name="P1_SCOPE_PROVER" localSheetId="3" hidden="1">#REF!,#REF!,#REF!,#REF!,#REF!,#REF!</definedName>
    <definedName name="P1_SCOPE_PROVER" hidden="1">#REF!,#REF!,#REF!,#REF!,#REF!,#REF!</definedName>
    <definedName name="P1_SCOPE_PRT_K1" hidden="1">[2]КУ1!$F$76:$G$77,[2]КУ1!$K$79:$K$80,[2]КУ1!$K$76:$K$77,[2]КУ1!$K$72:$K$74,[2]КУ1!$F$72:$G$74,[2]КУ1!$F$68:$H$70,[2]КУ1!$I$70,[2]КУ1!$J$68:$J$69,[2]КУ1!$K$66</definedName>
    <definedName name="P1_SET_PROT" localSheetId="7" hidden="1">#REF!,#REF!,#REF!,#REF!,#REF!,#REF!,#REF!</definedName>
    <definedName name="P1_SET_PROT" localSheetId="3" hidden="1">#REF!,#REF!,#REF!,#REF!,#REF!,#REF!,#REF!</definedName>
    <definedName name="P1_SET_PROT" hidden="1">#REF!,#REF!,#REF!,#REF!,#REF!,#REF!,#REF!</definedName>
    <definedName name="P1_SET_PRT" localSheetId="7" hidden="1">#REF!,#REF!,#REF!,#REF!,#REF!,#REF!,#REF!</definedName>
    <definedName name="P1_SET_PRT" localSheetId="3" hidden="1">#REF!,#REF!,#REF!,#REF!,#REF!,#REF!,#REF!</definedName>
    <definedName name="P1_SET_PRT" hidden="1">#REF!,#REF!,#REF!,#REF!,#REF!,#REF!,#REF!</definedName>
    <definedName name="P1_T3_PRT" localSheetId="7" hidden="1">#REF!,#REF!,#REF!</definedName>
    <definedName name="P1_T3_PRT" localSheetId="3" hidden="1">#REF!,#REF!,#REF!</definedName>
    <definedName name="P1_T3_PRT" hidden="1">#REF!,#REF!,#REF!</definedName>
    <definedName name="P2_SCOPE_PRT_K1" hidden="1">[2]КУ1!$F$66:$G$66,[2]КУ1!$F$61:$G$63,[2]КУ1!$K$61:$K$63,[2]КУ1!$K$58,[2]КУ1!$I$57,[2]КУ1!$K$56,[2]КУ1!$H$57,[2]КУ1!$F$56:$G$58,[2]КУ1!$F$52:$G$53,[2]КУ1!$H$53</definedName>
    <definedName name="P2_T3_PRT" localSheetId="7" hidden="1">#REF!,#REF!,#REF!,#REF!</definedName>
    <definedName name="P2_T3_PRT" localSheetId="3" hidden="1">#REF!,#REF!,#REF!,#REF!</definedName>
    <definedName name="P2_T3_PRT" hidden="1">#REF!,#REF!,#REF!,#REF!</definedName>
    <definedName name="P3_SCOPE_PRT_K1" hidden="1">[2]КУ1!$J$53,[2]КУ1!$K$52,[2]КУ1!$K$50,[2]КУ1!$J$49,[2]КУ1!$K$48,[2]КУ1!$F$50:$G$50,[2]КУ1!$F$49:$H$49,[2]КУ1!$F$48:$G$48,[2]КУ1!$F$45:$G$46,[2]КУ1!$H$46</definedName>
    <definedName name="P4_SCOPE_PRT_K1" hidden="1">[2]КУ1!$J$46,[2]КУ1!$K$45,[2]КУ1!$J$43,[2]КУ1!$K$42,[2]КУ1!$H$43,[2]КУ1!$F$42:$G$43,[2]КУ1!$F$38:$G$38,[2]КУ1!$F$39:$H$39,[2]КУ1!$J$39,[2]КУ1!$K$38</definedName>
    <definedName name="P5_SCOPE_PRT_K1" hidden="1">[2]КУ1!$K$35:$K$36,[2]КУ1!$F$33:$G$36,[2]КУ1!$H$34,[2]КУ1!$J$34,[2]КУ1!$K$33,[2]КУ1!$J$31,[2]КУ1!$F$30:$G$31,[2]КУ1!$H$31,[2]КУ1!$K$30,[2]КУ1!$J$28</definedName>
    <definedName name="P6_SCOPE_PRT_K1" hidden="1">[2]КУ1!$F$27:$G$28,[2]КУ1!$H$28,[2]КУ1!$K$27,[2]КУ1!$K$23,[2]КУ1!$J$24,[2]КУ1!$F$23:$G$23,[2]КУ1!$F$24:$H$24,[2]КУ1!$F$17:$G$21,[2]КУ1!$H$18,[2]КУ1!$J$18</definedName>
    <definedName name="P7_SCOPE_PRT_K1" hidden="1">[2]КУ1!$K$17,[2]КУ1!$K$19:$K$21,[2]КУ1!$F$14:$G$15,[2]КУ1!$H$15,[2]КУ1!$J$15,[2]КУ1!$K$14,[2]КУ1!$J$12,[2]КУ1!$K$11,[2]КУ1!$F$11:$G$12,[2]КУ1!$H$12</definedName>
    <definedName name="sencount" hidden="1">1</definedName>
    <definedName name="seti_vid_uslugi">[1]TEHSHEET!$F$51:$F$53</definedName>
    <definedName name="smet" localSheetId="7" hidden="1">{#N/A,#N/A,FALSE,"Себестоимсть-97"}</definedName>
    <definedName name="smet" localSheetId="12" hidden="1">{#N/A,#N/A,FALSE,"Себестоимсть-97"}</definedName>
    <definedName name="smet" localSheetId="3" hidden="1">{#N/A,#N/A,FALSE,"Себестоимсть-97"}</definedName>
    <definedName name="smet" hidden="1">{#N/A,#N/A,FALSE,"Себестоимсть-97"}</definedName>
    <definedName name="tek_period">[1]Титульный!$H$11</definedName>
    <definedName name="tip_mat">[1]TEHSHEET!$N$51:$N$56</definedName>
    <definedName name="tip_proklad_det">[1]TEHSHEET!$T$51:$T$53</definedName>
    <definedName name="wrn.1." localSheetId="7" hidden="1">{"konoplin - Личное представление",#N/A,TRUE,"ФинПлан_1кв";"konoplin - Личное представление",#N/A,TRUE,"ФинПлан_2кв"}</definedName>
    <definedName name="wrn.1." localSheetId="12" hidden="1">{"konoplin - Личное представление",#N/A,TRUE,"ФинПлан_1кв";"konoplin - Личное представление",#N/A,TRUE,"ФинПлан_2кв"}</definedName>
    <definedName name="wrn.1." localSheetId="3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1._1" localSheetId="7" hidden="1">{"konoplin - Личное представление",#N/A,TRUE,"ФинПлан_1кв";"konoplin - Личное представление",#N/A,TRUE,"ФинПлан_2кв"}</definedName>
    <definedName name="wrn.1._1" localSheetId="12" hidden="1">{"konoplin - Личное представление",#N/A,TRUE,"ФинПлан_1кв";"konoplin - Личное представление",#N/A,TRUE,"ФинПлан_2кв"}</definedName>
    <definedName name="wrn.1._1" localSheetId="3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localSheetId="7" hidden="1">{"konoplin - Личное представление",#N/A,TRUE,"ФинПлан_1кв";"konoplin - Личное представление",#N/A,TRUE,"ФинПлан_2кв"}</definedName>
    <definedName name="wrn.1._2" localSheetId="12" hidden="1">{"konoplin - Личное представление",#N/A,TRUE,"ФинПлан_1кв";"konoplin - Личное представление",#N/A,TRUE,"ФинПлан_2кв"}</definedName>
    <definedName name="wrn.1._2" localSheetId="3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localSheetId="7" hidden="1">{"konoplin - Личное представление",#N/A,TRUE,"ФинПлан_1кв";"konoplin - Личное представление",#N/A,TRUE,"ФинПлан_2кв"}</definedName>
    <definedName name="wrn.1._3" localSheetId="12" hidden="1">{"konoplin - Личное представление",#N/A,TRUE,"ФинПлан_1кв";"konoplin - Личное представление",#N/A,TRUE,"ФинПлан_2кв"}</definedName>
    <definedName name="wrn.1._3" localSheetId="3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localSheetId="7" hidden="1">{"konoplin - Личное представление",#N/A,TRUE,"ФинПлан_1кв";"konoplin - Личное представление",#N/A,TRUE,"ФинПлан_2кв"}</definedName>
    <definedName name="wrn.1._4" localSheetId="12" hidden="1">{"konoplin - Личное представление",#N/A,TRUE,"ФинПлан_1кв";"konoplin - Личное представление",#N/A,TRUE,"ФинПлан_2кв"}</definedName>
    <definedName name="wrn.1._4" localSheetId="3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localSheetId="7" hidden="1">{"konoplin - Личное представление",#N/A,TRUE,"ФинПлан_1кв";"konoplin - Личное представление",#N/A,TRUE,"ФинПлан_2кв"}</definedName>
    <definedName name="wrn.1._5" localSheetId="12" hidden="1">{"konoplin - Личное представление",#N/A,TRUE,"ФинПлан_1кв";"konoplin - Личное представление",#N/A,TRUE,"ФинПлан_2кв"}</definedName>
    <definedName name="wrn.1._5" localSheetId="3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12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hidden="1">{#N/A,#N/A,FALSE,"Себестоимсть-97"}</definedName>
    <definedName name="wrn.Сравнение._.с._.отраслями." localSheetId="7" hidden="1">{#N/A,#N/A,TRUE,"Лист1";#N/A,#N/A,TRUE,"Лист2";#N/A,#N/A,TRUE,"Лист3"}</definedName>
    <definedName name="wrn.Сравнение._.с._.отраслями." localSheetId="1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равнение._.с._.отраслями._1" localSheetId="7" hidden="1">{#N/A,#N/A,TRUE,"Лист1";#N/A,#N/A,TRUE,"Лист2";#N/A,#N/A,TRUE,"Лист3"}</definedName>
    <definedName name="wrn.Сравнение._.с._.отраслями._1" localSheetId="12" hidden="1">{#N/A,#N/A,TRUE,"Лист1";#N/A,#N/A,TRUE,"Лист2";#N/A,#N/A,TRUE,"Лист3"}</definedName>
    <definedName name="wrn.Сравнение._.с._.отраслями._1" localSheetId="3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localSheetId="7" hidden="1">{#N/A,#N/A,TRUE,"Лист1";#N/A,#N/A,TRUE,"Лист2";#N/A,#N/A,TRUE,"Лист3"}</definedName>
    <definedName name="wrn.Сравнение._.с._.отраслями._2" localSheetId="12" hidden="1">{#N/A,#N/A,TRUE,"Лист1";#N/A,#N/A,TRUE,"Лист2";#N/A,#N/A,TRUE,"Лист3"}</definedName>
    <definedName name="wrn.Сравнение._.с._.отраслями._2" localSheetId="3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localSheetId="7" hidden="1">{#N/A,#N/A,TRUE,"Лист1";#N/A,#N/A,TRUE,"Лист2";#N/A,#N/A,TRUE,"Лист3"}</definedName>
    <definedName name="wrn.Сравнение._.с._.отраслями._3" localSheetId="12" hidden="1">{#N/A,#N/A,TRUE,"Лист1";#N/A,#N/A,TRUE,"Лист2";#N/A,#N/A,TRUE,"Лист3"}</definedName>
    <definedName name="wrn.Сравнение._.с._.отраслями._3" localSheetId="3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localSheetId="7" hidden="1">{#N/A,#N/A,TRUE,"Лист1";#N/A,#N/A,TRUE,"Лист2";#N/A,#N/A,TRUE,"Лист3"}</definedName>
    <definedName name="wrn.Сравнение._.с._.отраслями._4" localSheetId="12" hidden="1">{#N/A,#N/A,TRUE,"Лист1";#N/A,#N/A,TRUE,"Лист2";#N/A,#N/A,TRUE,"Лист3"}</definedName>
    <definedName name="wrn.Сравнение._.с._.отраслями._4" localSheetId="3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localSheetId="7" hidden="1">{#N/A,#N/A,TRUE,"Лист1";#N/A,#N/A,TRUE,"Лист2";#N/A,#N/A,TRUE,"Лист3"}</definedName>
    <definedName name="wrn.Сравнение._.с._.отраслями._5" localSheetId="12" hidden="1">{#N/A,#N/A,TRUE,"Лист1";#N/A,#N/A,TRUE,"Лист2";#N/A,#N/A,TRUE,"Лист3"}</definedName>
    <definedName name="wrn.Сравнение._.с._.отраслями._5" localSheetId="3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yyyjjjj" localSheetId="7" hidden="1">{#N/A,#N/A,FALSE,"Себестоимсть-97"}</definedName>
    <definedName name="yyyjjjj" localSheetId="12" hidden="1">{#N/A,#N/A,FALSE,"Себестоимсть-97"}</definedName>
    <definedName name="yyyjjjj" localSheetId="3" hidden="1">{#N/A,#N/A,FALSE,"Себестоимсть-97"}</definedName>
    <definedName name="yyyjjjj" hidden="1">{#N/A,#N/A,FALSE,"Себестоимсть-97"}</definedName>
    <definedName name="Z_30FEE15E_D26F_11D4_A6F7_00508B6A7686_.wvu.FilterData" hidden="1">#REF!</definedName>
    <definedName name="Z_30FEE15E_D26F_11D4_A6F7_00508B6A7686_.wvu.PrintArea" localSheetId="7" hidden="1">#REF!</definedName>
    <definedName name="Z_30FEE15E_D26F_11D4_A6F7_00508B6A7686_.wvu.PrintArea" localSheetId="3" hidden="1">#REF!</definedName>
    <definedName name="Z_30FEE15E_D26F_11D4_A6F7_00508B6A7686_.wvu.PrintArea" hidden="1">#REF!</definedName>
    <definedName name="Z_30FEE15E_D26F_11D4_A6F7_00508B6A7686_.wvu.PrintTitles" localSheetId="7" hidden="1">#REF!</definedName>
    <definedName name="Z_30FEE15E_D26F_11D4_A6F7_00508B6A7686_.wvu.PrintTitles" localSheetId="3" hidden="1">#REF!</definedName>
    <definedName name="Z_30FEE15E_D26F_11D4_A6F7_00508B6A7686_.wvu.PrintTitles" hidden="1">#REF!</definedName>
    <definedName name="Z_30FEE15E_D26F_11D4_A6F7_00508B6A7686_.wvu.Rows" localSheetId="7" hidden="1">#REF!</definedName>
    <definedName name="Z_30FEE15E_D26F_11D4_A6F7_00508B6A7686_.wvu.Rows" hidden="1">#REF!</definedName>
    <definedName name="видсс" localSheetId="7" hidden="1">{#N/A,#N/A,FALSE,"Себестоимсть-97"}</definedName>
    <definedName name="видсс" localSheetId="12" hidden="1">{#N/A,#N/A,FALSE,"Себестоимсть-97"}</definedName>
    <definedName name="видсс" localSheetId="3" hidden="1">{#N/A,#N/A,FALSE,"Себестоимсть-97"}</definedName>
    <definedName name="видсс" hidden="1">{#N/A,#N/A,FALSE,"Себестоимсть-97"}</definedName>
    <definedName name="вуув" localSheetId="7" hidden="1">{#N/A,#N/A,TRUE,"Лист1";#N/A,#N/A,TRUE,"Лист2";#N/A,#N/A,TRUE,"Лист3"}</definedName>
    <definedName name="вуув" localSheetId="1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вуув_1" localSheetId="7" hidden="1">{#N/A,#N/A,TRUE,"Лист1";#N/A,#N/A,TRUE,"Лист2";#N/A,#N/A,TRUE,"Лист3"}</definedName>
    <definedName name="вуув_1" localSheetId="12" hidden="1">{#N/A,#N/A,TRUE,"Лист1";#N/A,#N/A,TRUE,"Лист2";#N/A,#N/A,TRUE,"Лист3"}</definedName>
    <definedName name="вуув_1" localSheetId="3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localSheetId="7" hidden="1">{#N/A,#N/A,TRUE,"Лист1";#N/A,#N/A,TRUE,"Лист2";#N/A,#N/A,TRUE,"Лист3"}</definedName>
    <definedName name="вуув_2" localSheetId="12" hidden="1">{#N/A,#N/A,TRUE,"Лист1";#N/A,#N/A,TRUE,"Лист2";#N/A,#N/A,TRUE,"Лист3"}</definedName>
    <definedName name="вуув_2" localSheetId="3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localSheetId="7" hidden="1">{#N/A,#N/A,TRUE,"Лист1";#N/A,#N/A,TRUE,"Лист2";#N/A,#N/A,TRUE,"Лист3"}</definedName>
    <definedName name="вуув_3" localSheetId="12" hidden="1">{#N/A,#N/A,TRUE,"Лист1";#N/A,#N/A,TRUE,"Лист2";#N/A,#N/A,TRUE,"Лист3"}</definedName>
    <definedName name="вуув_3" localSheetId="3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localSheetId="7" hidden="1">{#N/A,#N/A,TRUE,"Лист1";#N/A,#N/A,TRUE,"Лист2";#N/A,#N/A,TRUE,"Лист3"}</definedName>
    <definedName name="вуув_4" localSheetId="12" hidden="1">{#N/A,#N/A,TRUE,"Лист1";#N/A,#N/A,TRUE,"Лист2";#N/A,#N/A,TRUE,"Лист3"}</definedName>
    <definedName name="вуув_4" localSheetId="3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localSheetId="7" hidden="1">{#N/A,#N/A,TRUE,"Лист1";#N/A,#N/A,TRUE,"Лист2";#N/A,#N/A,TRUE,"Лист3"}</definedName>
    <definedName name="вуув_5" localSheetId="12" hidden="1">{#N/A,#N/A,TRUE,"Лист1";#N/A,#N/A,TRUE,"Лист2";#N/A,#N/A,TRUE,"Лист3"}</definedName>
    <definedName name="вуув_5" localSheetId="3" hidden="1">{#N/A,#N/A,TRUE,"Лист1";#N/A,#N/A,TRUE,"Лист2";#N/A,#N/A,TRUE,"Лист3"}</definedName>
    <definedName name="вуув_5" hidden="1">{#N/A,#N/A,TRUE,"Лист1";#N/A,#N/A,TRUE,"Лист2";#N/A,#N/A,TRUE,"Лист3"}</definedName>
    <definedName name="ГодВО">[3]МероприятияВО!$Q$3:$Q$3018</definedName>
    <definedName name="грприрцфв00ав98" localSheetId="7" hidden="1">{#N/A,#N/A,TRUE,"Лист1";#N/A,#N/A,TRUE,"Лист2";#N/A,#N/A,TRUE,"Лист3"}</definedName>
    <definedName name="грприрцфв00ав98" localSheetId="1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прирцфв00ав98_1" localSheetId="7" hidden="1">{#N/A,#N/A,TRUE,"Лист1";#N/A,#N/A,TRUE,"Лист2";#N/A,#N/A,TRUE,"Лист3"}</definedName>
    <definedName name="грприрцфв00ав98_1" localSheetId="12" hidden="1">{#N/A,#N/A,TRUE,"Лист1";#N/A,#N/A,TRUE,"Лист2";#N/A,#N/A,TRUE,"Лист3"}</definedName>
    <definedName name="грприрцфв00ав98_1" localSheetId="3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localSheetId="7" hidden="1">{#N/A,#N/A,TRUE,"Лист1";#N/A,#N/A,TRUE,"Лист2";#N/A,#N/A,TRUE,"Лист3"}</definedName>
    <definedName name="грприрцфв00ав98_2" localSheetId="12" hidden="1">{#N/A,#N/A,TRUE,"Лист1";#N/A,#N/A,TRUE,"Лист2";#N/A,#N/A,TRUE,"Лист3"}</definedName>
    <definedName name="грприрцфв00ав98_2" localSheetId="3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localSheetId="7" hidden="1">{#N/A,#N/A,TRUE,"Лист1";#N/A,#N/A,TRUE,"Лист2";#N/A,#N/A,TRUE,"Лист3"}</definedName>
    <definedName name="грприрцфв00ав98_3" localSheetId="12" hidden="1">{#N/A,#N/A,TRUE,"Лист1";#N/A,#N/A,TRUE,"Лист2";#N/A,#N/A,TRUE,"Лист3"}</definedName>
    <definedName name="грприрцфв00ав98_3" localSheetId="3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localSheetId="7" hidden="1">{#N/A,#N/A,TRUE,"Лист1";#N/A,#N/A,TRUE,"Лист2";#N/A,#N/A,TRUE,"Лист3"}</definedName>
    <definedName name="грприрцфв00ав98_4" localSheetId="12" hidden="1">{#N/A,#N/A,TRUE,"Лист1";#N/A,#N/A,TRUE,"Лист2";#N/A,#N/A,TRUE,"Лист3"}</definedName>
    <definedName name="грприрцфв00ав98_4" localSheetId="3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localSheetId="7" hidden="1">{#N/A,#N/A,TRUE,"Лист1";#N/A,#N/A,TRUE,"Лист2";#N/A,#N/A,TRUE,"Лист3"}</definedName>
    <definedName name="грприрцфв00ав98_5" localSheetId="12" hidden="1">{#N/A,#N/A,TRUE,"Лист1";#N/A,#N/A,TRUE,"Лист2";#N/A,#N/A,TRUE,"Лист3"}</definedName>
    <definedName name="грприрцфв00ав98_5" localSheetId="3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уппа" localSheetId="7">'[4]Программа инв. проектов'!$B$434:$B$439</definedName>
    <definedName name="Группа" localSheetId="3">'[5]Программа инв. проектов'!$B$434:$B$439</definedName>
    <definedName name="Группа">'Программа инв. проектов'!$B$194:$B$199</definedName>
    <definedName name="Группа1">'Программа инв. проектов'!$B$194:$B$199</definedName>
    <definedName name="грфинцкавг98Х" localSheetId="7" hidden="1">{#N/A,#N/A,TRUE,"Лист1";#N/A,#N/A,TRUE,"Лист2";#N/A,#N/A,TRUE,"Лист3"}</definedName>
    <definedName name="грфинцкавг98Х" localSheetId="1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localSheetId="7" hidden="1">{#N/A,#N/A,TRUE,"Лист1";#N/A,#N/A,TRUE,"Лист2";#N/A,#N/A,TRUE,"Лист3"}</definedName>
    <definedName name="грфинцкавг98Х_1" localSheetId="12" hidden="1">{#N/A,#N/A,TRUE,"Лист1";#N/A,#N/A,TRUE,"Лист2";#N/A,#N/A,TRUE,"Лист3"}</definedName>
    <definedName name="грфинцкавг98Х_1" localSheetId="3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localSheetId="7" hidden="1">{#N/A,#N/A,TRUE,"Лист1";#N/A,#N/A,TRUE,"Лист2";#N/A,#N/A,TRUE,"Лист3"}</definedName>
    <definedName name="грфинцкавг98Х_2" localSheetId="12" hidden="1">{#N/A,#N/A,TRUE,"Лист1";#N/A,#N/A,TRUE,"Лист2";#N/A,#N/A,TRUE,"Лист3"}</definedName>
    <definedName name="грфинцкавг98Х_2" localSheetId="3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localSheetId="7" hidden="1">{#N/A,#N/A,TRUE,"Лист1";#N/A,#N/A,TRUE,"Лист2";#N/A,#N/A,TRUE,"Лист3"}</definedName>
    <definedName name="грфинцкавг98Х_3" localSheetId="12" hidden="1">{#N/A,#N/A,TRUE,"Лист1";#N/A,#N/A,TRUE,"Лист2";#N/A,#N/A,TRUE,"Лист3"}</definedName>
    <definedName name="грфинцкавг98Х_3" localSheetId="3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localSheetId="7" hidden="1">{#N/A,#N/A,TRUE,"Лист1";#N/A,#N/A,TRUE,"Лист2";#N/A,#N/A,TRUE,"Лист3"}</definedName>
    <definedName name="грфинцкавг98Х_4" localSheetId="12" hidden="1">{#N/A,#N/A,TRUE,"Лист1";#N/A,#N/A,TRUE,"Лист2";#N/A,#N/A,TRUE,"Лист3"}</definedName>
    <definedName name="грфинцкавг98Х_4" localSheetId="3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localSheetId="7" hidden="1">{#N/A,#N/A,TRUE,"Лист1";#N/A,#N/A,TRUE,"Лист2";#N/A,#N/A,TRUE,"Лист3"}</definedName>
    <definedName name="грфинцкавг98Х_5" localSheetId="12" hidden="1">{#N/A,#N/A,TRUE,"Лист1";#N/A,#N/A,TRUE,"Лист2";#N/A,#N/A,TRUE,"Лист3"}</definedName>
    <definedName name="грфинцкавг98Х_5" localSheetId="3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ДиаметрВС">'[6]Сети ВС'!$F$3:$F$500</definedName>
    <definedName name="ДлинаВС">'[6]Сети ВС'!$G$3:$G$500</definedName>
    <definedName name="индцкавг98" localSheetId="7" hidden="1">{#N/A,#N/A,TRUE,"Лист1";#N/A,#N/A,TRUE,"Лист2";#N/A,#N/A,TRUE,"Лист3"}</definedName>
    <definedName name="индцкавг98" localSheetId="1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дцкавг98_1" localSheetId="7" hidden="1">{#N/A,#N/A,TRUE,"Лист1";#N/A,#N/A,TRUE,"Лист2";#N/A,#N/A,TRUE,"Лист3"}</definedName>
    <definedName name="индцкавг98_1" localSheetId="12" hidden="1">{#N/A,#N/A,TRUE,"Лист1";#N/A,#N/A,TRUE,"Лист2";#N/A,#N/A,TRUE,"Лист3"}</definedName>
    <definedName name="индцкавг98_1" localSheetId="3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localSheetId="7" hidden="1">{#N/A,#N/A,TRUE,"Лист1";#N/A,#N/A,TRUE,"Лист2";#N/A,#N/A,TRUE,"Лист3"}</definedName>
    <definedName name="индцкавг98_2" localSheetId="12" hidden="1">{#N/A,#N/A,TRUE,"Лист1";#N/A,#N/A,TRUE,"Лист2";#N/A,#N/A,TRUE,"Лист3"}</definedName>
    <definedName name="индцкавг98_2" localSheetId="3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localSheetId="7" hidden="1">{#N/A,#N/A,TRUE,"Лист1";#N/A,#N/A,TRUE,"Лист2";#N/A,#N/A,TRUE,"Лист3"}</definedName>
    <definedName name="индцкавг98_3" localSheetId="12" hidden="1">{#N/A,#N/A,TRUE,"Лист1";#N/A,#N/A,TRUE,"Лист2";#N/A,#N/A,TRUE,"Лист3"}</definedName>
    <definedName name="индцкавг98_3" localSheetId="3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localSheetId="7" hidden="1">{#N/A,#N/A,TRUE,"Лист1";#N/A,#N/A,TRUE,"Лист2";#N/A,#N/A,TRUE,"Лист3"}</definedName>
    <definedName name="индцкавг98_4" localSheetId="12" hidden="1">{#N/A,#N/A,TRUE,"Лист1";#N/A,#N/A,TRUE,"Лист2";#N/A,#N/A,TRUE,"Лист3"}</definedName>
    <definedName name="индцкавг98_4" localSheetId="3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localSheetId="7" hidden="1">{#N/A,#N/A,TRUE,"Лист1";#N/A,#N/A,TRUE,"Лист2";#N/A,#N/A,TRUE,"Лист3"}</definedName>
    <definedName name="индцкавг98_5" localSheetId="12" hidden="1">{#N/A,#N/A,TRUE,"Лист1";#N/A,#N/A,TRUE,"Лист2";#N/A,#N/A,TRUE,"Лист3"}</definedName>
    <definedName name="индцкавг98_5" localSheetId="3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кеппппппппппп" localSheetId="7" hidden="1">{#N/A,#N/A,TRUE,"Лист1";#N/A,#N/A,TRUE,"Лист2";#N/A,#N/A,TRUE,"Лист3"}</definedName>
    <definedName name="кеппппппппппп" localSheetId="1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_1" localSheetId="7" hidden="1">{#N/A,#N/A,TRUE,"Лист1";#N/A,#N/A,TRUE,"Лист2";#N/A,#N/A,TRUE,"Лист3"}</definedName>
    <definedName name="кеппппппппппп_1" localSheetId="12" hidden="1">{#N/A,#N/A,TRUE,"Лист1";#N/A,#N/A,TRUE,"Лист2";#N/A,#N/A,TRUE,"Лист3"}</definedName>
    <definedName name="кеппппппппппп_1" localSheetId="3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localSheetId="7" hidden="1">{#N/A,#N/A,TRUE,"Лист1";#N/A,#N/A,TRUE,"Лист2";#N/A,#N/A,TRUE,"Лист3"}</definedName>
    <definedName name="кеппппппппппп_2" localSheetId="12" hidden="1">{#N/A,#N/A,TRUE,"Лист1";#N/A,#N/A,TRUE,"Лист2";#N/A,#N/A,TRUE,"Лист3"}</definedName>
    <definedName name="кеппппппппппп_2" localSheetId="3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localSheetId="7" hidden="1">{#N/A,#N/A,TRUE,"Лист1";#N/A,#N/A,TRUE,"Лист2";#N/A,#N/A,TRUE,"Лист3"}</definedName>
    <definedName name="кеппппппппппп_3" localSheetId="12" hidden="1">{#N/A,#N/A,TRUE,"Лист1";#N/A,#N/A,TRUE,"Лист2";#N/A,#N/A,TRUE,"Лист3"}</definedName>
    <definedName name="кеппппппппппп_3" localSheetId="3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localSheetId="7" hidden="1">{#N/A,#N/A,TRUE,"Лист1";#N/A,#N/A,TRUE,"Лист2";#N/A,#N/A,TRUE,"Лист3"}</definedName>
    <definedName name="кеппппппппппп_4" localSheetId="12" hidden="1">{#N/A,#N/A,TRUE,"Лист1";#N/A,#N/A,TRUE,"Лист2";#N/A,#N/A,TRUE,"Лист3"}</definedName>
    <definedName name="кеппппппппппп_4" localSheetId="3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localSheetId="7" hidden="1">{#N/A,#N/A,TRUE,"Лист1";#N/A,#N/A,TRUE,"Лист2";#N/A,#N/A,TRUE,"Лист3"}</definedName>
    <definedName name="кеппппппппппп_5" localSheetId="12" hidden="1">{#N/A,#N/A,TRUE,"Лист1";#N/A,#N/A,TRUE,"Лист2";#N/A,#N/A,TRUE,"Лист3"}</definedName>
    <definedName name="кеппппппппппп_5" localSheetId="3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олвоВО">[3]МероприятияВО!$L$3:$L$3018</definedName>
    <definedName name="Корректировка" localSheetId="7" hidden="1">#REF!,#REF!,#REF!,#REF!,#REF!,#REF!,#REF!</definedName>
    <definedName name="Корректировка" localSheetId="3" hidden="1">#REF!,#REF!,#REF!,#REF!,#REF!,#REF!,#REF!</definedName>
    <definedName name="Корректировка" hidden="1">#REF!,#REF!,#REF!,#REF!,#REF!,#REF!,#REF!</definedName>
    <definedName name="КоррСтр" localSheetId="7">#REF!</definedName>
    <definedName name="КоррСтр" localSheetId="3">#REF!</definedName>
    <definedName name="КоррСтр">#REF!</definedName>
    <definedName name="КоррСтрока" localSheetId="7">#REF!</definedName>
    <definedName name="КоррСтрока" localSheetId="3">#REF!</definedName>
    <definedName name="КоррСтрока">#REF!</definedName>
    <definedName name="лимит" localSheetId="7" hidden="1">{#N/A,#N/A,FALSE,"Себестоимсть-97"}</definedName>
    <definedName name="лимит" localSheetId="12" hidden="1">{#N/A,#N/A,FALSE,"Себестоимсть-97"}</definedName>
    <definedName name="лимит" localSheetId="3" hidden="1">{#N/A,#N/A,FALSE,"Себестоимсть-97"}</definedName>
    <definedName name="лимит" hidden="1">{#N/A,#N/A,FALSE,"Себестоимсть-97"}</definedName>
    <definedName name="МРво">[3]МероприятияВО!$B$3:$B$3018</definedName>
    <definedName name="ОбъектВО">[3]МероприятияВО!$J$3:$J$3018</definedName>
    <definedName name="папа" localSheetId="7" hidden="1">{"konoplin - Личное представление",#N/A,TRUE,"ФинПлан_1кв";"konoplin - Личное представление",#N/A,TRUE,"ФинПлан_2кв"}</definedName>
    <definedName name="папа" localSheetId="12" hidden="1">{"konoplin - Личное представление",#N/A,TRUE,"ФинПлан_1кв";"konoplin - Личное представление",#N/A,TRUE,"ФинПлан_2кв"}</definedName>
    <definedName name="папа" localSheetId="3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localSheetId="7" hidden="1">{"konoplin - Личное представление",#N/A,TRUE,"ФинПлан_1кв";"konoplin - Личное представление",#N/A,TRUE,"ФинПлан_2кв"}</definedName>
    <definedName name="папа_1" localSheetId="12" hidden="1">{"konoplin - Личное представление",#N/A,TRUE,"ФинПлан_1кв";"konoplin - Личное представление",#N/A,TRUE,"ФинПлан_2кв"}</definedName>
    <definedName name="папа_1" localSheetId="3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localSheetId="7" hidden="1">{"konoplin - Личное представление",#N/A,TRUE,"ФинПлан_1кв";"konoplin - Личное представление",#N/A,TRUE,"ФинПлан_2кв"}</definedName>
    <definedName name="папа_2" localSheetId="12" hidden="1">{"konoplin - Личное представление",#N/A,TRUE,"ФинПлан_1кв";"konoplin - Личное представление",#N/A,TRUE,"ФинПлан_2кв"}</definedName>
    <definedName name="папа_2" localSheetId="3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localSheetId="7" hidden="1">{"konoplin - Личное представление",#N/A,TRUE,"ФинПлан_1кв";"konoplin - Личное представление",#N/A,TRUE,"ФинПлан_2кв"}</definedName>
    <definedName name="папа_3" localSheetId="12" hidden="1">{"konoplin - Личное представление",#N/A,TRUE,"ФинПлан_1кв";"konoplin - Личное представление",#N/A,TRUE,"ФинПлан_2кв"}</definedName>
    <definedName name="папа_3" localSheetId="3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localSheetId="7" hidden="1">{"konoplin - Личное представление",#N/A,TRUE,"ФинПлан_1кв";"konoplin - Личное представление",#N/A,TRUE,"ФинПлан_2кв"}</definedName>
    <definedName name="папа_4" localSheetId="12" hidden="1">{"konoplin - Личное представление",#N/A,TRUE,"ФинПлан_1кв";"konoplin - Личное представление",#N/A,TRUE,"ФинПлан_2кв"}</definedName>
    <definedName name="папа_4" localSheetId="3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localSheetId="7" hidden="1">{"konoplin - Личное представление",#N/A,TRUE,"ФинПлан_1кв";"konoplin - Личное представление",#N/A,TRUE,"ФинПлан_2кв"}</definedName>
    <definedName name="папа_5" localSheetId="12" hidden="1">{"konoplin - Личное представление",#N/A,TRUE,"ФинПлан_1кв";"konoplin - Личное представление",#N/A,TRUE,"ФинПлан_2кв"}</definedName>
    <definedName name="папа_5" localSheetId="3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нлнееен" localSheetId="7" hidden="1">{#N/A,#N/A,FALSE,"Себестоимсть-97"}</definedName>
    <definedName name="пнлнееен" localSheetId="12" hidden="1">{#N/A,#N/A,FALSE,"Себестоимсть-97"}</definedName>
    <definedName name="пнлнееен" localSheetId="3" hidden="1">{#N/A,#N/A,FALSE,"Себестоимсть-97"}</definedName>
    <definedName name="пнлнееен" hidden="1">{#N/A,#N/A,FALSE,"Себестоимсть-97"}</definedName>
    <definedName name="Регионы">[6]СП!$A$2:INDEX([6]СП!$A:$A,COUNTA([6]СП!$A:$A))</definedName>
    <definedName name="рис1" localSheetId="7" hidden="1">{#N/A,#N/A,TRUE,"Лист1";#N/A,#N/A,TRUE,"Лист2";#N/A,#N/A,TRUE,"Лист3"}</definedName>
    <definedName name="рис1" localSheetId="1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_1" localSheetId="7" hidden="1">{#N/A,#N/A,TRUE,"Лист1";#N/A,#N/A,TRUE,"Лист2";#N/A,#N/A,TRUE,"Лист3"}</definedName>
    <definedName name="рис1_1" localSheetId="12" hidden="1">{#N/A,#N/A,TRUE,"Лист1";#N/A,#N/A,TRUE,"Лист2";#N/A,#N/A,TRUE,"Лист3"}</definedName>
    <definedName name="рис1_1" localSheetId="3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localSheetId="7" hidden="1">{#N/A,#N/A,TRUE,"Лист1";#N/A,#N/A,TRUE,"Лист2";#N/A,#N/A,TRUE,"Лист3"}</definedName>
    <definedName name="рис1_2" localSheetId="12" hidden="1">{#N/A,#N/A,TRUE,"Лист1";#N/A,#N/A,TRUE,"Лист2";#N/A,#N/A,TRUE,"Лист3"}</definedName>
    <definedName name="рис1_2" localSheetId="3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localSheetId="7" hidden="1">{#N/A,#N/A,TRUE,"Лист1";#N/A,#N/A,TRUE,"Лист2";#N/A,#N/A,TRUE,"Лист3"}</definedName>
    <definedName name="рис1_3" localSheetId="12" hidden="1">{#N/A,#N/A,TRUE,"Лист1";#N/A,#N/A,TRUE,"Лист2";#N/A,#N/A,TRUE,"Лист3"}</definedName>
    <definedName name="рис1_3" localSheetId="3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localSheetId="7" hidden="1">{#N/A,#N/A,TRUE,"Лист1";#N/A,#N/A,TRUE,"Лист2";#N/A,#N/A,TRUE,"Лист3"}</definedName>
    <definedName name="рис1_4" localSheetId="12" hidden="1">{#N/A,#N/A,TRUE,"Лист1";#N/A,#N/A,TRUE,"Лист2";#N/A,#N/A,TRUE,"Лист3"}</definedName>
    <definedName name="рис1_4" localSheetId="3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localSheetId="7" hidden="1">{#N/A,#N/A,TRUE,"Лист1";#N/A,#N/A,TRUE,"Лист2";#N/A,#N/A,TRUE,"Лист3"}</definedName>
    <definedName name="рис1_5" localSheetId="12" hidden="1">{#N/A,#N/A,TRUE,"Лист1";#N/A,#N/A,TRUE,"Лист2";#N/A,#N/A,TRUE,"Лист3"}</definedName>
    <definedName name="рис1_5" localSheetId="3" hidden="1">{#N/A,#N/A,TRUE,"Лист1";#N/A,#N/A,TRUE,"Лист2";#N/A,#N/A,TRUE,"Лист3"}</definedName>
    <definedName name="рис1_5" hidden="1">{#N/A,#N/A,TRUE,"Лист1";#N/A,#N/A,TRUE,"Лист2";#N/A,#N/A,TRUE,"Лист3"}</definedName>
    <definedName name="РСО" localSheetId="7">[4]Руководство!$B$30:$B$60</definedName>
    <definedName name="РСО" localSheetId="3">[5]Руководство!$B$30:$B$60</definedName>
    <definedName name="РСО">Руководство!$B$24:$B$31</definedName>
    <definedName name="РСО1">Руководство!$B$24:$B$31</definedName>
    <definedName name="Сроки" localSheetId="7">'[4]Программа инв. проектов'!$B$441:$B$443</definedName>
    <definedName name="Сроки" localSheetId="3">'[5]Программа инв. проектов'!$B$441:$B$443</definedName>
    <definedName name="Сроки">'Программа инв. проектов'!$B$201:$B$203</definedName>
    <definedName name="Сроки1">'Программа инв. проектов'!$B$201:$B$203</definedName>
    <definedName name="ТипМво">[3]МероприятияВО!$I$3:$I$3018</definedName>
    <definedName name="тп" localSheetId="7" hidden="1">{#N/A,#N/A,TRUE,"Лист1";#N/A,#N/A,TRUE,"Лист2";#N/A,#N/A,TRUE,"Лист3"}</definedName>
    <definedName name="тп" localSheetId="1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тп_1" localSheetId="7" hidden="1">{#N/A,#N/A,TRUE,"Лист1";#N/A,#N/A,TRUE,"Лист2";#N/A,#N/A,TRUE,"Лист3"}</definedName>
    <definedName name="тп_1" localSheetId="12" hidden="1">{#N/A,#N/A,TRUE,"Лист1";#N/A,#N/A,TRUE,"Лист2";#N/A,#N/A,TRUE,"Лист3"}</definedName>
    <definedName name="тп_1" localSheetId="3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localSheetId="7" hidden="1">{#N/A,#N/A,TRUE,"Лист1";#N/A,#N/A,TRUE,"Лист2";#N/A,#N/A,TRUE,"Лист3"}</definedName>
    <definedName name="тп_2" localSheetId="12" hidden="1">{#N/A,#N/A,TRUE,"Лист1";#N/A,#N/A,TRUE,"Лист2";#N/A,#N/A,TRUE,"Лист3"}</definedName>
    <definedName name="тп_2" localSheetId="3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localSheetId="7" hidden="1">{#N/A,#N/A,TRUE,"Лист1";#N/A,#N/A,TRUE,"Лист2";#N/A,#N/A,TRUE,"Лист3"}</definedName>
    <definedName name="тп_3" localSheetId="12" hidden="1">{#N/A,#N/A,TRUE,"Лист1";#N/A,#N/A,TRUE,"Лист2";#N/A,#N/A,TRUE,"Лист3"}</definedName>
    <definedName name="тп_3" localSheetId="3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localSheetId="7" hidden="1">{#N/A,#N/A,TRUE,"Лист1";#N/A,#N/A,TRUE,"Лист2";#N/A,#N/A,TRUE,"Лист3"}</definedName>
    <definedName name="тп_4" localSheetId="12" hidden="1">{#N/A,#N/A,TRUE,"Лист1";#N/A,#N/A,TRUE,"Лист2";#N/A,#N/A,TRUE,"Лист3"}</definedName>
    <definedName name="тп_4" localSheetId="3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localSheetId="7" hidden="1">{#N/A,#N/A,TRUE,"Лист1";#N/A,#N/A,TRUE,"Лист2";#N/A,#N/A,TRUE,"Лист3"}</definedName>
    <definedName name="тп_5" localSheetId="12" hidden="1">{#N/A,#N/A,TRUE,"Лист1";#N/A,#N/A,TRUE,"Лист2";#N/A,#N/A,TRUE,"Лист3"}</definedName>
    <definedName name="тп_5" localSheetId="3" hidden="1">{#N/A,#N/A,TRUE,"Лист1";#N/A,#N/A,TRUE,"Лист2";#N/A,#N/A,TRUE,"Лист3"}</definedName>
    <definedName name="тп_5" hidden="1">{#N/A,#N/A,TRUE,"Лист1";#N/A,#N/A,TRUE,"Лист2";#N/A,#N/A,TRUE,"Лист3"}</definedName>
    <definedName name="укеееукеееееееееееееее" localSheetId="7" hidden="1">{#N/A,#N/A,TRUE,"Лист1";#N/A,#N/A,TRUE,"Лист2";#N/A,#N/A,TRUE,"Лист3"}</definedName>
    <definedName name="укеееукеееееееееееееее" localSheetId="1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ееукеееееееееееееее_1" localSheetId="7" hidden="1">{#N/A,#N/A,TRUE,"Лист1";#N/A,#N/A,TRUE,"Лист2";#N/A,#N/A,TRUE,"Лист3"}</definedName>
    <definedName name="укеееукеееееееееееееее_1" localSheetId="12" hidden="1">{#N/A,#N/A,TRUE,"Лист1";#N/A,#N/A,TRUE,"Лист2";#N/A,#N/A,TRUE,"Лист3"}</definedName>
    <definedName name="укеееукеееееееееееееее_1" localSheetId="3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localSheetId="7" hidden="1">{#N/A,#N/A,TRUE,"Лист1";#N/A,#N/A,TRUE,"Лист2";#N/A,#N/A,TRUE,"Лист3"}</definedName>
    <definedName name="укеееукеееееееееееееее_2" localSheetId="12" hidden="1">{#N/A,#N/A,TRUE,"Лист1";#N/A,#N/A,TRUE,"Лист2";#N/A,#N/A,TRUE,"Лист3"}</definedName>
    <definedName name="укеееукеееееееееееееее_2" localSheetId="3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localSheetId="7" hidden="1">{#N/A,#N/A,TRUE,"Лист1";#N/A,#N/A,TRUE,"Лист2";#N/A,#N/A,TRUE,"Лист3"}</definedName>
    <definedName name="укеееукеееееееееееееее_3" localSheetId="12" hidden="1">{#N/A,#N/A,TRUE,"Лист1";#N/A,#N/A,TRUE,"Лист2";#N/A,#N/A,TRUE,"Лист3"}</definedName>
    <definedName name="укеееукеееееееееееееее_3" localSheetId="3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localSheetId="7" hidden="1">{#N/A,#N/A,TRUE,"Лист1";#N/A,#N/A,TRUE,"Лист2";#N/A,#N/A,TRUE,"Лист3"}</definedName>
    <definedName name="укеееукеееееееееееееее_4" localSheetId="12" hidden="1">{#N/A,#N/A,TRUE,"Лист1";#N/A,#N/A,TRUE,"Лист2";#N/A,#N/A,TRUE,"Лист3"}</definedName>
    <definedName name="укеееукеееееееееееееее_4" localSheetId="3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localSheetId="7" hidden="1">{#N/A,#N/A,TRUE,"Лист1";#N/A,#N/A,TRUE,"Лист2";#N/A,#N/A,TRUE,"Лист3"}</definedName>
    <definedName name="укеееукеееееееееееееее_5" localSheetId="12" hidden="1">{#N/A,#N/A,TRUE,"Лист1";#N/A,#N/A,TRUE,"Лист2";#N/A,#N/A,TRUE,"Лист3"}</definedName>
    <definedName name="укеееукеееееееееееееее_5" localSheetId="3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localSheetId="7" hidden="1">{#N/A,#N/A,TRUE,"Лист1";#N/A,#N/A,TRUE,"Лист2";#N/A,#N/A,TRUE,"Лист3"}</definedName>
    <definedName name="укеукеуеуе" localSheetId="1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localSheetId="7" hidden="1">{#N/A,#N/A,TRUE,"Лист1";#N/A,#N/A,TRUE,"Лист2";#N/A,#N/A,TRUE,"Лист3"}</definedName>
    <definedName name="укеукеуеуе_1" localSheetId="12" hidden="1">{#N/A,#N/A,TRUE,"Лист1";#N/A,#N/A,TRUE,"Лист2";#N/A,#N/A,TRUE,"Лист3"}</definedName>
    <definedName name="укеукеуеуе_1" localSheetId="3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localSheetId="7" hidden="1">{#N/A,#N/A,TRUE,"Лист1";#N/A,#N/A,TRUE,"Лист2";#N/A,#N/A,TRUE,"Лист3"}</definedName>
    <definedName name="укеукеуеуе_2" localSheetId="12" hidden="1">{#N/A,#N/A,TRUE,"Лист1";#N/A,#N/A,TRUE,"Лист2";#N/A,#N/A,TRUE,"Лист3"}</definedName>
    <definedName name="укеукеуеуе_2" localSheetId="3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localSheetId="7" hidden="1">{#N/A,#N/A,TRUE,"Лист1";#N/A,#N/A,TRUE,"Лист2";#N/A,#N/A,TRUE,"Лист3"}</definedName>
    <definedName name="укеукеуеуе_3" localSheetId="12" hidden="1">{#N/A,#N/A,TRUE,"Лист1";#N/A,#N/A,TRUE,"Лист2";#N/A,#N/A,TRUE,"Лист3"}</definedName>
    <definedName name="укеукеуеуе_3" localSheetId="3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localSheetId="7" hidden="1">{#N/A,#N/A,TRUE,"Лист1";#N/A,#N/A,TRUE,"Лист2";#N/A,#N/A,TRUE,"Лист3"}</definedName>
    <definedName name="укеукеуеуе_4" localSheetId="12" hidden="1">{#N/A,#N/A,TRUE,"Лист1";#N/A,#N/A,TRUE,"Лист2";#N/A,#N/A,TRUE,"Лист3"}</definedName>
    <definedName name="укеукеуеуе_4" localSheetId="3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localSheetId="7" hidden="1">{#N/A,#N/A,TRUE,"Лист1";#N/A,#N/A,TRUE,"Лист2";#N/A,#N/A,TRUE,"Лист3"}</definedName>
    <definedName name="укеукеуеуе_5" localSheetId="12" hidden="1">{#N/A,#N/A,TRUE,"Лист1";#N/A,#N/A,TRUE,"Лист2";#N/A,#N/A,TRUE,"Лист3"}</definedName>
    <definedName name="укеукеуеуе_5" localSheetId="3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ф" localSheetId="7" hidden="1">{"konoplin - Личное представление",#N/A,TRUE,"ФинПлан_1кв";"konoplin - Личное представление",#N/A,TRUE,"ФинПлан_2кв"}</definedName>
    <definedName name="ф" localSheetId="12" hidden="1">{"konoplin - Личное представление",#N/A,TRUE,"ФинПлан_1кв";"konoplin - Личное представление",#N/A,TRUE,"ФинПлан_2кв"}</definedName>
    <definedName name="ф" localSheetId="3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_1" localSheetId="7" hidden="1">{"konoplin - Личное представление",#N/A,TRUE,"ФинПлан_1кв";"konoplin - Личное представление",#N/A,TRUE,"ФинПлан_2кв"}</definedName>
    <definedName name="ф_1" localSheetId="12" hidden="1">{"konoplin - Личное представление",#N/A,TRUE,"ФинПлан_1кв";"konoplin - Личное представление",#N/A,TRUE,"ФинПлан_2кв"}</definedName>
    <definedName name="ф_1" localSheetId="3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localSheetId="7" hidden="1">{"konoplin - Личное представление",#N/A,TRUE,"ФинПлан_1кв";"konoplin - Личное представление",#N/A,TRUE,"ФинПлан_2кв"}</definedName>
    <definedName name="ф_2" localSheetId="12" hidden="1">{"konoplin - Личное представление",#N/A,TRUE,"ФинПлан_1кв";"konoplin - Личное представление",#N/A,TRUE,"ФинПлан_2кв"}</definedName>
    <definedName name="ф_2" localSheetId="3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localSheetId="7" hidden="1">{"konoplin - Личное представление",#N/A,TRUE,"ФинПлан_1кв";"konoplin - Личное представление",#N/A,TRUE,"ФинПлан_2кв"}</definedName>
    <definedName name="ф_3" localSheetId="12" hidden="1">{"konoplin - Личное представление",#N/A,TRUE,"ФинПлан_1кв";"konoplin - Личное представление",#N/A,TRUE,"ФинПлан_2кв"}</definedName>
    <definedName name="ф_3" localSheetId="3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localSheetId="7" hidden="1">{"konoplin - Личное представление",#N/A,TRUE,"ФинПлан_1кв";"konoplin - Личное представление",#N/A,TRUE,"ФинПлан_2кв"}</definedName>
    <definedName name="ф_4" localSheetId="12" hidden="1">{"konoplin - Личное представление",#N/A,TRUE,"ФинПлан_1кв";"konoplin - Личное представление",#N/A,TRUE,"ФинПлан_2кв"}</definedName>
    <definedName name="ф_4" localSheetId="3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localSheetId="7" hidden="1">{"konoplin - Личное представление",#N/A,TRUE,"ФинПлан_1кв";"konoplin - Личное представление",#N/A,TRUE,"ФинПлан_2кв"}</definedName>
    <definedName name="ф_5" localSheetId="12" hidden="1">{"konoplin - Личное представление",#N/A,TRUE,"ФинПлан_1кв";"konoplin - Личное представление",#N/A,TRUE,"ФинПлан_2кв"}</definedName>
    <definedName name="ф_5" localSheetId="3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и">Фин.потребности!$D$71:$D$74</definedName>
    <definedName name="Фин" localSheetId="7">[4]Фин.потребности!$D$151:$D$154</definedName>
    <definedName name="Фин" localSheetId="3">[5]Фин.потребности!$D$151:$D$154</definedName>
    <definedName name="Фин">Фин.потребности!$D$71:$D$74</definedName>
    <definedName name="ыуаы" localSheetId="7" hidden="1">{#N/A,#N/A,TRUE,"Лист1";#N/A,#N/A,TRUE,"Лист2";#N/A,#N/A,TRUE,"Лист3"}</definedName>
    <definedName name="ыуаы" localSheetId="1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_1" localSheetId="7" hidden="1">{#N/A,#N/A,TRUE,"Лист1";#N/A,#N/A,TRUE,"Лист2";#N/A,#N/A,TRUE,"Лист3"}</definedName>
    <definedName name="ыуаы_1" localSheetId="12" hidden="1">{#N/A,#N/A,TRUE,"Лист1";#N/A,#N/A,TRUE,"Лист2";#N/A,#N/A,TRUE,"Лист3"}</definedName>
    <definedName name="ыуаы_1" localSheetId="3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localSheetId="7" hidden="1">{#N/A,#N/A,TRUE,"Лист1";#N/A,#N/A,TRUE,"Лист2";#N/A,#N/A,TRUE,"Лист3"}</definedName>
    <definedName name="ыуаы_2" localSheetId="12" hidden="1">{#N/A,#N/A,TRUE,"Лист1";#N/A,#N/A,TRUE,"Лист2";#N/A,#N/A,TRUE,"Лист3"}</definedName>
    <definedName name="ыуаы_2" localSheetId="3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localSheetId="7" hidden="1">{#N/A,#N/A,TRUE,"Лист1";#N/A,#N/A,TRUE,"Лист2";#N/A,#N/A,TRUE,"Лист3"}</definedName>
    <definedName name="ыуаы_3" localSheetId="12" hidden="1">{#N/A,#N/A,TRUE,"Лист1";#N/A,#N/A,TRUE,"Лист2";#N/A,#N/A,TRUE,"Лист3"}</definedName>
    <definedName name="ыуаы_3" localSheetId="3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localSheetId="7" hidden="1">{#N/A,#N/A,TRUE,"Лист1";#N/A,#N/A,TRUE,"Лист2";#N/A,#N/A,TRUE,"Лист3"}</definedName>
    <definedName name="ыуаы_4" localSheetId="12" hidden="1">{#N/A,#N/A,TRUE,"Лист1";#N/A,#N/A,TRUE,"Лист2";#N/A,#N/A,TRUE,"Лист3"}</definedName>
    <definedName name="ыуаы_4" localSheetId="3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localSheetId="7" hidden="1">{#N/A,#N/A,TRUE,"Лист1";#N/A,#N/A,TRUE,"Лист2";#N/A,#N/A,TRUE,"Лист3"}</definedName>
    <definedName name="ыуаы_5" localSheetId="12" hidden="1">{#N/A,#N/A,TRUE,"Лист1";#N/A,#N/A,TRUE,"Лист2";#N/A,#N/A,TRUE,"Лист3"}</definedName>
    <definedName name="ыуаы_5" localSheetId="3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" localSheetId="7" hidden="1">{#N/A,#N/A,FALSE,"Себестоимсть-97"}</definedName>
    <definedName name="ыыы" localSheetId="12" hidden="1">{#N/A,#N/A,FALSE,"Себестоимсть-97"}</definedName>
    <definedName name="ыыы" localSheetId="3" hidden="1">{#N/A,#N/A,FALSE,"Себестоимсть-97"}</definedName>
    <definedName name="ыыы" hidden="1">{#N/A,#N/A,FALSE,"Себестоимсть-97"}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9" i="66" l="1"/>
  <c r="C187" i="66"/>
  <c r="C181" i="66"/>
  <c r="C180" i="66"/>
  <c r="C174" i="66"/>
  <c r="C163" i="66"/>
  <c r="C164" i="66" s="1"/>
  <c r="C165" i="66" s="1"/>
  <c r="C158" i="66"/>
  <c r="C155" i="66" s="1"/>
  <c r="C157" i="66"/>
  <c r="C156" i="66"/>
  <c r="C153" i="66"/>
  <c r="C150" i="66" s="1"/>
  <c r="C151" i="66"/>
  <c r="C179" i="66" s="1"/>
  <c r="C173" i="66" s="1"/>
  <c r="C175" i="66" s="1"/>
  <c r="C147" i="66"/>
  <c r="C146" i="66"/>
  <c r="C143" i="66"/>
  <c r="C142" i="66" s="1"/>
  <c r="C138" i="66"/>
  <c r="C137" i="66"/>
  <c r="C162" i="66" s="1"/>
  <c r="C133" i="66"/>
  <c r="C132" i="66"/>
  <c r="C130" i="66"/>
  <c r="C121" i="66"/>
  <c r="C127" i="66" s="1"/>
  <c r="C107" i="66"/>
  <c r="C104" i="66"/>
  <c r="C100" i="66"/>
  <c r="C108" i="66" s="1"/>
  <c r="C99" i="66"/>
  <c r="C54" i="66"/>
  <c r="C63" i="66" s="1"/>
  <c r="C72" i="66" s="1"/>
  <c r="C84" i="66" s="1"/>
  <c r="C53" i="66"/>
  <c r="C62" i="66" s="1"/>
  <c r="C71" i="66" s="1"/>
  <c r="C83" i="66" s="1"/>
  <c r="C51" i="66"/>
  <c r="C60" i="66" s="1"/>
  <c r="C69" i="66" s="1"/>
  <c r="C81" i="66" s="1"/>
  <c r="C50" i="66"/>
  <c r="C59" i="66" s="1"/>
  <c r="C68" i="66" s="1"/>
  <c r="C80" i="66" s="1"/>
  <c r="C48" i="66"/>
  <c r="C57" i="66" s="1"/>
  <c r="C66" i="66" s="1"/>
  <c r="C78" i="66" s="1"/>
  <c r="C47" i="66"/>
  <c r="C56" i="66" s="1"/>
  <c r="C45" i="66"/>
  <c r="C44" i="66"/>
  <c r="C43" i="66"/>
  <c r="C42" i="66"/>
  <c r="C41" i="66"/>
  <c r="C40" i="66"/>
  <c r="C39" i="66"/>
  <c r="C38" i="66"/>
  <c r="C26" i="66"/>
  <c r="C25" i="66"/>
  <c r="C22" i="66"/>
  <c r="C10" i="66"/>
  <c r="C9" i="66"/>
  <c r="C49" i="66" s="1"/>
  <c r="C58" i="66" s="1"/>
  <c r="C6" i="66"/>
  <c r="C21" i="66" s="1"/>
  <c r="C5" i="66"/>
  <c r="C4" i="66"/>
  <c r="C8" i="66" s="1"/>
  <c r="C3" i="66"/>
  <c r="C67" i="66" l="1"/>
  <c r="C79" i="66" s="1"/>
  <c r="C90" i="66"/>
  <c r="C89" i="66"/>
  <c r="C92" i="66"/>
  <c r="C87" i="66"/>
  <c r="C93" i="66"/>
  <c r="C86" i="66"/>
  <c r="C85" i="66" s="1"/>
  <c r="C88" i="66"/>
  <c r="C65" i="66"/>
  <c r="C23" i="66"/>
  <c r="C98" i="66"/>
  <c r="C52" i="66"/>
  <c r="C61" i="66" s="1"/>
  <c r="C70" i="66" s="1"/>
  <c r="C82" i="66" s="1"/>
  <c r="C27" i="66"/>
  <c r="C20" i="66"/>
  <c r="C19" i="66" s="1"/>
  <c r="C28" i="66" s="1"/>
  <c r="C168" i="66" s="1"/>
  <c r="C176" i="66" s="1"/>
  <c r="C185" i="66" s="1"/>
  <c r="C24" i="66"/>
  <c r="C169" i="66" l="1"/>
  <c r="C64" i="66"/>
  <c r="C77" i="66"/>
  <c r="C91" i="66"/>
  <c r="C102" i="66"/>
  <c r="C105" i="66"/>
  <c r="C106" i="66" s="1"/>
  <c r="C97" i="66"/>
  <c r="C96" i="66" l="1"/>
  <c r="C191" i="66" s="1"/>
  <c r="C2" i="66"/>
  <c r="C75" i="66"/>
  <c r="C76" i="66"/>
  <c r="S48" i="28" l="1"/>
  <c r="S237" i="53" l="1"/>
  <c r="R237" i="53"/>
  <c r="Q237" i="53"/>
  <c r="P237" i="53"/>
  <c r="Q238" i="53" s="1"/>
  <c r="O237" i="53"/>
  <c r="P238" i="53" s="1"/>
  <c r="N237" i="53"/>
  <c r="M237" i="53"/>
  <c r="L237" i="53"/>
  <c r="K237" i="53"/>
  <c r="J237" i="53"/>
  <c r="I237" i="53"/>
  <c r="J238" i="53" s="1"/>
  <c r="H237" i="53"/>
  <c r="G237" i="53"/>
  <c r="F237" i="53"/>
  <c r="S241" i="53"/>
  <c r="R241" i="53"/>
  <c r="Q241" i="53"/>
  <c r="P241" i="53"/>
  <c r="O241" i="53"/>
  <c r="N241" i="53"/>
  <c r="M241" i="53"/>
  <c r="L241" i="53"/>
  <c r="K241" i="53"/>
  <c r="J241" i="53"/>
  <c r="I241" i="53"/>
  <c r="H241" i="53"/>
  <c r="G241" i="53"/>
  <c r="F241" i="53"/>
  <c r="S240" i="53"/>
  <c r="R240" i="53"/>
  <c r="Q240" i="53"/>
  <c r="P240" i="53"/>
  <c r="O240" i="53"/>
  <c r="N240" i="53"/>
  <c r="M240" i="53"/>
  <c r="L240" i="53"/>
  <c r="K240" i="53"/>
  <c r="J240" i="53"/>
  <c r="I240" i="53"/>
  <c r="H240" i="53"/>
  <c r="G240" i="53"/>
  <c r="S239" i="53"/>
  <c r="R239" i="53"/>
  <c r="Q239" i="53"/>
  <c r="P239" i="53"/>
  <c r="O239" i="53"/>
  <c r="N239" i="53"/>
  <c r="M239" i="53"/>
  <c r="L239" i="53"/>
  <c r="K239" i="53"/>
  <c r="J239" i="53"/>
  <c r="I239" i="53"/>
  <c r="H239" i="53"/>
  <c r="G239" i="53"/>
  <c r="E239" i="53"/>
  <c r="S238" i="53"/>
  <c r="R238" i="53"/>
  <c r="O238" i="53"/>
  <c r="N238" i="53"/>
  <c r="M238" i="53"/>
  <c r="K238" i="53"/>
  <c r="L238" i="53" l="1"/>
  <c r="G238" i="53"/>
  <c r="H238" i="53"/>
  <c r="I238" i="53"/>
  <c r="E26" i="28"/>
  <c r="F26" i="28"/>
  <c r="G26" i="28"/>
  <c r="H26" i="28"/>
  <c r="I26" i="28"/>
  <c r="J26" i="28"/>
  <c r="K26" i="28"/>
  <c r="L26" i="28"/>
  <c r="M26" i="28"/>
  <c r="N26" i="28"/>
  <c r="O26" i="28"/>
  <c r="P26" i="28"/>
  <c r="Q26" i="28"/>
  <c r="D26" i="28"/>
  <c r="Q33" i="28" l="1"/>
  <c r="P33" i="28"/>
  <c r="O33" i="28"/>
  <c r="N33" i="28"/>
  <c r="M33" i="28"/>
  <c r="L33" i="28"/>
  <c r="K33" i="28"/>
  <c r="J33" i="28"/>
  <c r="I33" i="28"/>
  <c r="H33" i="28"/>
  <c r="G33" i="28"/>
  <c r="F33" i="28"/>
  <c r="E33" i="28"/>
  <c r="Q32" i="28"/>
  <c r="P32" i="28"/>
  <c r="O32" i="28"/>
  <c r="N32" i="28"/>
  <c r="N30" i="28" s="1"/>
  <c r="M32" i="28"/>
  <c r="L32" i="28"/>
  <c r="K32" i="28"/>
  <c r="J32" i="28"/>
  <c r="I32" i="28"/>
  <c r="H32" i="28"/>
  <c r="G32" i="28"/>
  <c r="F32" i="28"/>
  <c r="E32" i="28"/>
  <c r="Q31" i="28"/>
  <c r="P31" i="28"/>
  <c r="O31" i="28"/>
  <c r="O30" i="28" s="1"/>
  <c r="N31" i="28"/>
  <c r="M31" i="28"/>
  <c r="L31" i="28"/>
  <c r="L30" i="28" s="1"/>
  <c r="K31" i="28"/>
  <c r="K30" i="28" s="1"/>
  <c r="J31" i="28"/>
  <c r="I31" i="28"/>
  <c r="I30" i="28" s="1"/>
  <c r="H31" i="28"/>
  <c r="H30" i="28" s="1"/>
  <c r="G31" i="28"/>
  <c r="G30" i="28" s="1"/>
  <c r="F31" i="28"/>
  <c r="E31" i="28"/>
  <c r="E30" i="28" s="1"/>
  <c r="Q30" i="28"/>
  <c r="P30" i="28"/>
  <c r="M30" i="28"/>
  <c r="F30" i="28" l="1"/>
  <c r="J30" i="28"/>
  <c r="A144" i="64"/>
  <c r="P136" i="61" l="1"/>
  <c r="O136" i="61"/>
  <c r="N136" i="61"/>
  <c r="M136" i="61"/>
  <c r="L136" i="61"/>
  <c r="K136" i="61"/>
  <c r="J136" i="61"/>
  <c r="I136" i="61"/>
  <c r="H136" i="61"/>
  <c r="G136" i="61"/>
  <c r="F136" i="61"/>
  <c r="E136" i="61"/>
  <c r="D136" i="61"/>
  <c r="P135" i="61"/>
  <c r="O135" i="61"/>
  <c r="N135" i="61"/>
  <c r="M135" i="61"/>
  <c r="L135" i="61"/>
  <c r="K135" i="61"/>
  <c r="J135" i="61"/>
  <c r="I135" i="61"/>
  <c r="I133" i="61" s="1"/>
  <c r="H135" i="61"/>
  <c r="G135" i="61"/>
  <c r="F135" i="61"/>
  <c r="E135" i="61"/>
  <c r="D135" i="61"/>
  <c r="P134" i="61"/>
  <c r="O134" i="61"/>
  <c r="O133" i="61" s="1"/>
  <c r="N134" i="61"/>
  <c r="N133" i="61" s="1"/>
  <c r="M134" i="61"/>
  <c r="L134" i="61"/>
  <c r="K134" i="61"/>
  <c r="K133" i="61" s="1"/>
  <c r="J134" i="61"/>
  <c r="J133" i="61" s="1"/>
  <c r="I134" i="61"/>
  <c r="H134" i="61"/>
  <c r="H133" i="61" s="1"/>
  <c r="G134" i="61"/>
  <c r="G133" i="61" s="1"/>
  <c r="F134" i="61"/>
  <c r="E134" i="61"/>
  <c r="D134" i="61"/>
  <c r="F133" i="61"/>
  <c r="P111" i="61"/>
  <c r="O111" i="61"/>
  <c r="N111" i="61"/>
  <c r="M111" i="61"/>
  <c r="L111" i="61"/>
  <c r="K111" i="61"/>
  <c r="J111" i="61"/>
  <c r="I111" i="61"/>
  <c r="H111" i="61"/>
  <c r="G111" i="61"/>
  <c r="F111" i="61"/>
  <c r="E111" i="61"/>
  <c r="D111" i="61"/>
  <c r="D203" i="61" s="1"/>
  <c r="P110" i="61"/>
  <c r="O110" i="61"/>
  <c r="N110" i="61"/>
  <c r="M110" i="61"/>
  <c r="L110" i="61"/>
  <c r="K110" i="61"/>
  <c r="J110" i="61"/>
  <c r="I110" i="61"/>
  <c r="H110" i="61"/>
  <c r="G110" i="61"/>
  <c r="F110" i="61"/>
  <c r="E110" i="61"/>
  <c r="D110" i="61"/>
  <c r="P109" i="61"/>
  <c r="O109" i="61"/>
  <c r="N109" i="61"/>
  <c r="M109" i="61"/>
  <c r="L109" i="61"/>
  <c r="K109" i="61"/>
  <c r="K108" i="61" s="1"/>
  <c r="J109" i="61"/>
  <c r="I109" i="61"/>
  <c r="H109" i="61"/>
  <c r="G109" i="61"/>
  <c r="F109" i="61"/>
  <c r="E109" i="61"/>
  <c r="D109" i="61"/>
  <c r="O108" i="61"/>
  <c r="M133" i="61"/>
  <c r="P132" i="61"/>
  <c r="O132" i="61"/>
  <c r="N132" i="61"/>
  <c r="M132" i="61"/>
  <c r="L132" i="61"/>
  <c r="K132" i="61"/>
  <c r="J132" i="61"/>
  <c r="I132" i="61"/>
  <c r="H132" i="61"/>
  <c r="G132" i="61"/>
  <c r="F132" i="61"/>
  <c r="E132" i="61"/>
  <c r="D132" i="61"/>
  <c r="P131" i="61"/>
  <c r="O131" i="61"/>
  <c r="N131" i="61"/>
  <c r="M131" i="61"/>
  <c r="L131" i="61"/>
  <c r="K131" i="61"/>
  <c r="J131" i="61"/>
  <c r="I131" i="61"/>
  <c r="I128" i="61" s="1"/>
  <c r="H131" i="61"/>
  <c r="G131" i="61"/>
  <c r="F131" i="61"/>
  <c r="E131" i="61"/>
  <c r="D131" i="61"/>
  <c r="P130" i="61"/>
  <c r="O130" i="61"/>
  <c r="N130" i="61"/>
  <c r="M130" i="61"/>
  <c r="L130" i="61"/>
  <c r="K130" i="61"/>
  <c r="J130" i="61"/>
  <c r="I130" i="61"/>
  <c r="H130" i="61"/>
  <c r="G130" i="61"/>
  <c r="F130" i="61"/>
  <c r="E130" i="61"/>
  <c r="D130" i="61"/>
  <c r="P129" i="61"/>
  <c r="O129" i="61"/>
  <c r="N129" i="61"/>
  <c r="M129" i="61"/>
  <c r="L129" i="61"/>
  <c r="K129" i="61"/>
  <c r="J129" i="61"/>
  <c r="I129" i="61"/>
  <c r="H129" i="61"/>
  <c r="G129" i="61"/>
  <c r="F129" i="61"/>
  <c r="E129" i="61"/>
  <c r="D129" i="61"/>
  <c r="P127" i="61"/>
  <c r="P123" i="61" s="1"/>
  <c r="O127" i="61"/>
  <c r="N127" i="61"/>
  <c r="M127" i="61"/>
  <c r="L127" i="61"/>
  <c r="K127" i="61"/>
  <c r="J127" i="61"/>
  <c r="I127" i="61"/>
  <c r="H127" i="61"/>
  <c r="H123" i="61" s="1"/>
  <c r="G127" i="61"/>
  <c r="F127" i="61"/>
  <c r="E127" i="61"/>
  <c r="D127" i="61"/>
  <c r="Q127" i="61" s="1"/>
  <c r="AD127" i="61" s="1"/>
  <c r="P126" i="61"/>
  <c r="O126" i="61"/>
  <c r="N126" i="61"/>
  <c r="M126" i="61"/>
  <c r="L126" i="61"/>
  <c r="K126" i="61"/>
  <c r="J126" i="61"/>
  <c r="I126" i="61"/>
  <c r="I123" i="61" s="1"/>
  <c r="H126" i="61"/>
  <c r="G126" i="61"/>
  <c r="F126" i="61"/>
  <c r="E126" i="61"/>
  <c r="Q126" i="61" s="1"/>
  <c r="AD126" i="61" s="1"/>
  <c r="D126" i="61"/>
  <c r="P125" i="61"/>
  <c r="O125" i="61"/>
  <c r="N125" i="61"/>
  <c r="N123" i="61" s="1"/>
  <c r="M125" i="61"/>
  <c r="L125" i="61"/>
  <c r="K125" i="61"/>
  <c r="J125" i="61"/>
  <c r="J123" i="61" s="1"/>
  <c r="I125" i="61"/>
  <c r="H125" i="61"/>
  <c r="G125" i="61"/>
  <c r="F125" i="61"/>
  <c r="F123" i="61" s="1"/>
  <c r="E125" i="61"/>
  <c r="D125" i="61"/>
  <c r="P124" i="61"/>
  <c r="O124" i="61"/>
  <c r="O123" i="61" s="1"/>
  <c r="N124" i="61"/>
  <c r="M124" i="61"/>
  <c r="L124" i="61"/>
  <c r="K124" i="61"/>
  <c r="K123" i="61" s="1"/>
  <c r="J124" i="61"/>
  <c r="I124" i="61"/>
  <c r="H124" i="61"/>
  <c r="G124" i="61"/>
  <c r="G123" i="61" s="1"/>
  <c r="F124" i="61"/>
  <c r="E124" i="61"/>
  <c r="D124" i="61"/>
  <c r="P122" i="61"/>
  <c r="O122" i="61"/>
  <c r="N122" i="61"/>
  <c r="M122" i="61"/>
  <c r="L122" i="61"/>
  <c r="K122" i="61"/>
  <c r="J122" i="61"/>
  <c r="I122" i="61"/>
  <c r="H122" i="61"/>
  <c r="G122" i="61"/>
  <c r="F122" i="61"/>
  <c r="E122" i="61"/>
  <c r="D122" i="61"/>
  <c r="P121" i="61"/>
  <c r="O121" i="61"/>
  <c r="N121" i="61"/>
  <c r="M121" i="61"/>
  <c r="M118" i="61" s="1"/>
  <c r="L121" i="61"/>
  <c r="K121" i="61"/>
  <c r="J121" i="61"/>
  <c r="I121" i="61"/>
  <c r="H121" i="61"/>
  <c r="G121" i="61"/>
  <c r="F121" i="61"/>
  <c r="E121" i="61"/>
  <c r="D121" i="61"/>
  <c r="P120" i="61"/>
  <c r="O120" i="61"/>
  <c r="N120" i="61"/>
  <c r="M120" i="61"/>
  <c r="L120" i="61"/>
  <c r="K120" i="61"/>
  <c r="J120" i="61"/>
  <c r="J118" i="61" s="1"/>
  <c r="I120" i="61"/>
  <c r="H120" i="61"/>
  <c r="G120" i="61"/>
  <c r="F120" i="61"/>
  <c r="Q120" i="61" s="1"/>
  <c r="AD120" i="61" s="1"/>
  <c r="E120" i="61"/>
  <c r="D120" i="61"/>
  <c r="P119" i="61"/>
  <c r="O119" i="61"/>
  <c r="N119" i="61"/>
  <c r="M119" i="61"/>
  <c r="L119" i="61"/>
  <c r="K119" i="61"/>
  <c r="J119" i="61"/>
  <c r="I119" i="61"/>
  <c r="H119" i="61"/>
  <c r="G119" i="61"/>
  <c r="F119" i="61"/>
  <c r="E119" i="61"/>
  <c r="D119" i="61"/>
  <c r="P117" i="61"/>
  <c r="P113" i="61" s="1"/>
  <c r="O117" i="61"/>
  <c r="N117" i="61"/>
  <c r="M117" i="61"/>
  <c r="L117" i="61"/>
  <c r="L113" i="61" s="1"/>
  <c r="K117" i="61"/>
  <c r="J117" i="61"/>
  <c r="I117" i="61"/>
  <c r="H117" i="61"/>
  <c r="G117" i="61"/>
  <c r="F117" i="61"/>
  <c r="E117" i="61"/>
  <c r="D117" i="61"/>
  <c r="Q117" i="61" s="1"/>
  <c r="AD117" i="61" s="1"/>
  <c r="P116" i="61"/>
  <c r="O116" i="61"/>
  <c r="N116" i="61"/>
  <c r="M116" i="61"/>
  <c r="L116" i="61"/>
  <c r="K116" i="61"/>
  <c r="J116" i="61"/>
  <c r="I116" i="61"/>
  <c r="I113" i="61" s="1"/>
  <c r="H116" i="61"/>
  <c r="G116" i="61"/>
  <c r="F116" i="61"/>
  <c r="E116" i="61"/>
  <c r="D116" i="61"/>
  <c r="P115" i="61"/>
  <c r="O115" i="61"/>
  <c r="N115" i="61"/>
  <c r="M115" i="61"/>
  <c r="L115" i="61"/>
  <c r="K115" i="61"/>
  <c r="J115" i="61"/>
  <c r="I115" i="61"/>
  <c r="H115" i="61"/>
  <c r="G115" i="61"/>
  <c r="F115" i="61"/>
  <c r="E115" i="61"/>
  <c r="P114" i="61"/>
  <c r="O114" i="61"/>
  <c r="O113" i="61" s="1"/>
  <c r="N114" i="61"/>
  <c r="M114" i="61"/>
  <c r="L114" i="61"/>
  <c r="K114" i="61"/>
  <c r="K113" i="61" s="1"/>
  <c r="J114" i="61"/>
  <c r="I114" i="61"/>
  <c r="H114" i="61"/>
  <c r="G114" i="61"/>
  <c r="G113" i="61" s="1"/>
  <c r="F114" i="61"/>
  <c r="F113" i="61" s="1"/>
  <c r="E114" i="61"/>
  <c r="D114" i="61"/>
  <c r="D115" i="61"/>
  <c r="P133" i="61"/>
  <c r="L133" i="61"/>
  <c r="L128" i="61"/>
  <c r="L123" i="61"/>
  <c r="M123" i="61"/>
  <c r="E123" i="61"/>
  <c r="Q121" i="61"/>
  <c r="AD121" i="61" s="1"/>
  <c r="H113" i="61"/>
  <c r="P107" i="61"/>
  <c r="O107" i="61"/>
  <c r="N107" i="61"/>
  <c r="M107" i="61"/>
  <c r="L107" i="61"/>
  <c r="K107" i="61"/>
  <c r="J107" i="61"/>
  <c r="I107" i="61"/>
  <c r="H107" i="61"/>
  <c r="G107" i="61"/>
  <c r="F107" i="61"/>
  <c r="E107" i="61"/>
  <c r="D107" i="61"/>
  <c r="P106" i="61"/>
  <c r="O106" i="61"/>
  <c r="N106" i="61"/>
  <c r="M106" i="61"/>
  <c r="L106" i="61"/>
  <c r="K106" i="61"/>
  <c r="J106" i="61"/>
  <c r="I106" i="61"/>
  <c r="H106" i="61"/>
  <c r="G106" i="61"/>
  <c r="F106" i="61"/>
  <c r="E106" i="61"/>
  <c r="D106" i="61"/>
  <c r="P105" i="61"/>
  <c r="O105" i="61"/>
  <c r="N105" i="61"/>
  <c r="M105" i="61"/>
  <c r="L105" i="61"/>
  <c r="K105" i="61"/>
  <c r="J105" i="61"/>
  <c r="I105" i="61"/>
  <c r="H105" i="61"/>
  <c r="G105" i="61"/>
  <c r="F105" i="61"/>
  <c r="E105" i="61"/>
  <c r="D105" i="61"/>
  <c r="P104" i="61"/>
  <c r="O104" i="61"/>
  <c r="N104" i="61"/>
  <c r="M104" i="61"/>
  <c r="L104" i="61"/>
  <c r="K104" i="61"/>
  <c r="J104" i="61"/>
  <c r="I104" i="61"/>
  <c r="H104" i="61"/>
  <c r="G104" i="61"/>
  <c r="F104" i="61"/>
  <c r="E104" i="61"/>
  <c r="D104" i="61"/>
  <c r="P102" i="61"/>
  <c r="O102" i="61"/>
  <c r="N102" i="61"/>
  <c r="M102" i="61"/>
  <c r="L102" i="61"/>
  <c r="K102" i="61"/>
  <c r="J102" i="61"/>
  <c r="I102" i="61"/>
  <c r="H102" i="61"/>
  <c r="G102" i="61"/>
  <c r="F102" i="61"/>
  <c r="E102" i="61"/>
  <c r="D102" i="61"/>
  <c r="P101" i="61"/>
  <c r="O101" i="61"/>
  <c r="N101" i="61"/>
  <c r="M101" i="61"/>
  <c r="L101" i="61"/>
  <c r="K101" i="61"/>
  <c r="J101" i="61"/>
  <c r="I101" i="61"/>
  <c r="H101" i="61"/>
  <c r="G101" i="61"/>
  <c r="F101" i="61"/>
  <c r="E101" i="61"/>
  <c r="D101" i="61"/>
  <c r="P100" i="61"/>
  <c r="O100" i="61"/>
  <c r="N100" i="61"/>
  <c r="M100" i="61"/>
  <c r="L100" i="61"/>
  <c r="K100" i="61"/>
  <c r="J100" i="61"/>
  <c r="I100" i="61"/>
  <c r="H100" i="61"/>
  <c r="G100" i="61"/>
  <c r="F100" i="61"/>
  <c r="E100" i="61"/>
  <c r="D100" i="61"/>
  <c r="P99" i="61"/>
  <c r="O99" i="61"/>
  <c r="N99" i="61"/>
  <c r="M99" i="61"/>
  <c r="L99" i="61"/>
  <c r="K99" i="61"/>
  <c r="J99" i="61"/>
  <c r="I99" i="61"/>
  <c r="H99" i="61"/>
  <c r="G99" i="61"/>
  <c r="F99" i="61"/>
  <c r="E99" i="61"/>
  <c r="D99" i="61"/>
  <c r="P97" i="61"/>
  <c r="O97" i="61"/>
  <c r="N97" i="61"/>
  <c r="M97" i="61"/>
  <c r="L97" i="61"/>
  <c r="K97" i="61"/>
  <c r="J97" i="61"/>
  <c r="I97" i="61"/>
  <c r="H97" i="61"/>
  <c r="G97" i="61"/>
  <c r="F97" i="61"/>
  <c r="E97" i="61"/>
  <c r="P96" i="61"/>
  <c r="O96" i="61"/>
  <c r="N96" i="61"/>
  <c r="M96" i="61"/>
  <c r="L96" i="61"/>
  <c r="K96" i="61"/>
  <c r="J96" i="61"/>
  <c r="I96" i="61"/>
  <c r="H96" i="61"/>
  <c r="G96" i="61"/>
  <c r="F96" i="61"/>
  <c r="E96" i="61"/>
  <c r="P95" i="61"/>
  <c r="O95" i="61"/>
  <c r="N95" i="61"/>
  <c r="M95" i="61"/>
  <c r="L95" i="61"/>
  <c r="K95" i="61"/>
  <c r="J95" i="61"/>
  <c r="I95" i="61"/>
  <c r="H95" i="61"/>
  <c r="G95" i="61"/>
  <c r="F95" i="61"/>
  <c r="E95" i="61"/>
  <c r="P94" i="61"/>
  <c r="P93" i="61" s="1"/>
  <c r="O94" i="61"/>
  <c r="N94" i="61"/>
  <c r="M94" i="61"/>
  <c r="L94" i="61"/>
  <c r="L93" i="61" s="1"/>
  <c r="K94" i="61"/>
  <c r="J94" i="61"/>
  <c r="J93" i="61" s="1"/>
  <c r="I94" i="61"/>
  <c r="I93" i="61" s="1"/>
  <c r="H94" i="61"/>
  <c r="H93" i="61" s="1"/>
  <c r="G94" i="61"/>
  <c r="F94" i="61"/>
  <c r="E94" i="61"/>
  <c r="D97" i="61"/>
  <c r="D96" i="61"/>
  <c r="D95" i="61"/>
  <c r="D94" i="61"/>
  <c r="P91" i="61"/>
  <c r="O91" i="61"/>
  <c r="N91" i="61"/>
  <c r="M91" i="61"/>
  <c r="L91" i="61"/>
  <c r="K91" i="61"/>
  <c r="J91" i="61"/>
  <c r="I91" i="61"/>
  <c r="H91" i="61"/>
  <c r="G91" i="61"/>
  <c r="F91" i="61"/>
  <c r="E91" i="61"/>
  <c r="P90" i="61"/>
  <c r="O90" i="61"/>
  <c r="N90" i="61"/>
  <c r="M90" i="61"/>
  <c r="L90" i="61"/>
  <c r="K90" i="61"/>
  <c r="J90" i="61"/>
  <c r="I90" i="61"/>
  <c r="H90" i="61"/>
  <c r="G90" i="61"/>
  <c r="F90" i="61"/>
  <c r="E90" i="61"/>
  <c r="D90" i="61"/>
  <c r="P89" i="61"/>
  <c r="O89" i="61"/>
  <c r="N89" i="61"/>
  <c r="M89" i="61"/>
  <c r="L89" i="61"/>
  <c r="K89" i="61"/>
  <c r="J89" i="61"/>
  <c r="I89" i="61"/>
  <c r="H89" i="61"/>
  <c r="G89" i="61"/>
  <c r="F89" i="61"/>
  <c r="E89" i="61"/>
  <c r="D89" i="61"/>
  <c r="P92" i="61"/>
  <c r="O92" i="61"/>
  <c r="N92" i="61"/>
  <c r="M92" i="61"/>
  <c r="L92" i="61"/>
  <c r="K92" i="61"/>
  <c r="J92" i="61"/>
  <c r="I92" i="61"/>
  <c r="H92" i="61"/>
  <c r="G92" i="61"/>
  <c r="F92" i="61"/>
  <c r="E92" i="61"/>
  <c r="D92" i="61"/>
  <c r="D91" i="61"/>
  <c r="P108" i="61"/>
  <c r="M93" i="61"/>
  <c r="N93" i="61"/>
  <c r="O93" i="61"/>
  <c r="K93" i="61"/>
  <c r="K88" i="61"/>
  <c r="T21" i="62"/>
  <c r="R43" i="62"/>
  <c r="Q43" i="62"/>
  <c r="P43" i="62"/>
  <c r="O43" i="62"/>
  <c r="N43" i="62"/>
  <c r="M43" i="62"/>
  <c r="L43" i="62"/>
  <c r="K43" i="62"/>
  <c r="J43" i="62"/>
  <c r="I43" i="62"/>
  <c r="H43" i="62"/>
  <c r="G43" i="62"/>
  <c r="F43" i="62"/>
  <c r="R42" i="62"/>
  <c r="Q42" i="62"/>
  <c r="P42" i="62"/>
  <c r="O42" i="62"/>
  <c r="N42" i="62"/>
  <c r="M42" i="62"/>
  <c r="L42" i="62"/>
  <c r="K42" i="62"/>
  <c r="J42" i="62"/>
  <c r="I42" i="62"/>
  <c r="H42" i="62"/>
  <c r="G42" i="62"/>
  <c r="F42" i="62"/>
  <c r="R41" i="62"/>
  <c r="Q41" i="62"/>
  <c r="P41" i="62"/>
  <c r="O41" i="62"/>
  <c r="N41" i="62"/>
  <c r="M41" i="62"/>
  <c r="L41" i="62"/>
  <c r="K41" i="62"/>
  <c r="J41" i="62"/>
  <c r="I41" i="62"/>
  <c r="H41" i="62"/>
  <c r="G41" i="62"/>
  <c r="F41" i="62"/>
  <c r="R40" i="62"/>
  <c r="Q40" i="62"/>
  <c r="P40" i="62"/>
  <c r="O40" i="62"/>
  <c r="N40" i="62"/>
  <c r="M40" i="62"/>
  <c r="L40" i="62"/>
  <c r="K40" i="62"/>
  <c r="J40" i="62"/>
  <c r="I40" i="62"/>
  <c r="H40" i="62"/>
  <c r="G40" i="62"/>
  <c r="F40" i="62"/>
  <c r="R35" i="62"/>
  <c r="Q35" i="62"/>
  <c r="P35" i="62"/>
  <c r="O35" i="62"/>
  <c r="N35" i="62"/>
  <c r="M35" i="62"/>
  <c r="L35" i="62"/>
  <c r="K35" i="62"/>
  <c r="J35" i="62"/>
  <c r="I35" i="62"/>
  <c r="H35" i="62"/>
  <c r="G35" i="62"/>
  <c r="F35" i="62"/>
  <c r="R34" i="62"/>
  <c r="Q34" i="62"/>
  <c r="P34" i="62"/>
  <c r="O34" i="62"/>
  <c r="N34" i="62"/>
  <c r="M34" i="62"/>
  <c r="L34" i="62"/>
  <c r="K34" i="62"/>
  <c r="J34" i="62"/>
  <c r="I34" i="62"/>
  <c r="H34" i="62"/>
  <c r="G34" i="62"/>
  <c r="F34" i="62"/>
  <c r="R33" i="62"/>
  <c r="Q33" i="62"/>
  <c r="P33" i="62"/>
  <c r="O33" i="62"/>
  <c r="N33" i="62"/>
  <c r="M33" i="62"/>
  <c r="L33" i="62"/>
  <c r="K33" i="62"/>
  <c r="J33" i="62"/>
  <c r="I33" i="62"/>
  <c r="H33" i="62"/>
  <c r="G33" i="62"/>
  <c r="R32" i="62"/>
  <c r="Q32" i="62"/>
  <c r="P32" i="62"/>
  <c r="O32" i="62"/>
  <c r="N32" i="62"/>
  <c r="M32" i="62"/>
  <c r="L32" i="62"/>
  <c r="K32" i="62"/>
  <c r="J32" i="62"/>
  <c r="I32" i="62"/>
  <c r="H32" i="62"/>
  <c r="G32" i="62"/>
  <c r="F32" i="62"/>
  <c r="F33" i="62"/>
  <c r="S46" i="62"/>
  <c r="S45" i="62"/>
  <c r="S37" i="62"/>
  <c r="O36" i="62"/>
  <c r="J38" i="62"/>
  <c r="J36" i="62" s="1"/>
  <c r="K38" i="62"/>
  <c r="K36" i="62" s="1"/>
  <c r="L38" i="62"/>
  <c r="L36" i="62" s="1"/>
  <c r="M38" i="62"/>
  <c r="M36" i="62" s="1"/>
  <c r="N38" i="62"/>
  <c r="N36" i="62" s="1"/>
  <c r="O38" i="62"/>
  <c r="P38" i="62"/>
  <c r="P36" i="62" s="1"/>
  <c r="Q38" i="62"/>
  <c r="Q36" i="62" s="1"/>
  <c r="R38" i="62"/>
  <c r="R36" i="62" s="1"/>
  <c r="R46" i="62"/>
  <c r="Q46" i="62"/>
  <c r="P46" i="62"/>
  <c r="O46" i="62"/>
  <c r="N46" i="62"/>
  <c r="M46" i="62"/>
  <c r="L46" i="62"/>
  <c r="K46" i="62"/>
  <c r="J46" i="62"/>
  <c r="I46" i="62"/>
  <c r="H46" i="62"/>
  <c r="G46" i="62"/>
  <c r="F46" i="62"/>
  <c r="I44" i="62"/>
  <c r="H44" i="62"/>
  <c r="G44" i="62"/>
  <c r="F44" i="62"/>
  <c r="S44" i="62" s="1"/>
  <c r="E44" i="62"/>
  <c r="E43" i="62"/>
  <c r="E42" i="62"/>
  <c r="E41" i="62"/>
  <c r="E40" i="62"/>
  <c r="G39" i="62" l="1"/>
  <c r="Q31" i="62"/>
  <c r="Q30" i="62" s="1"/>
  <c r="R31" i="62"/>
  <c r="R30" i="62" s="1"/>
  <c r="H39" i="62"/>
  <c r="I39" i="62"/>
  <c r="L31" i="62"/>
  <c r="L30" i="62" s="1"/>
  <c r="P31" i="62"/>
  <c r="P30" i="62" s="1"/>
  <c r="S42" i="62"/>
  <c r="K31" i="62"/>
  <c r="K30" i="62" s="1"/>
  <c r="S43" i="62"/>
  <c r="O31" i="62"/>
  <c r="O30" i="62" s="1"/>
  <c r="S35" i="62"/>
  <c r="S32" i="62"/>
  <c r="J31" i="62"/>
  <c r="J30" i="62" s="1"/>
  <c r="S34" i="62"/>
  <c r="S40" i="62"/>
  <c r="N31" i="62"/>
  <c r="N30" i="62" s="1"/>
  <c r="E39" i="62"/>
  <c r="M31" i="62"/>
  <c r="M30" i="62" s="1"/>
  <c r="Q136" i="61"/>
  <c r="AD136" i="61" s="1"/>
  <c r="D133" i="61"/>
  <c r="H108" i="61"/>
  <c r="L108" i="61"/>
  <c r="J113" i="61"/>
  <c r="N113" i="61"/>
  <c r="E113" i="61"/>
  <c r="M113" i="61"/>
  <c r="Q119" i="61"/>
  <c r="AD119" i="61" s="1"/>
  <c r="H118" i="61"/>
  <c r="H112" i="61" s="1"/>
  <c r="L118" i="61"/>
  <c r="L112" i="61" s="1"/>
  <c r="P118" i="61"/>
  <c r="G118" i="61"/>
  <c r="K118" i="61"/>
  <c r="K112" i="61" s="1"/>
  <c r="O118" i="61"/>
  <c r="F118" i="61"/>
  <c r="N118" i="61"/>
  <c r="E118" i="61"/>
  <c r="I118" i="61"/>
  <c r="Q129" i="61"/>
  <c r="AD129" i="61" s="1"/>
  <c r="H128" i="61"/>
  <c r="P128" i="61"/>
  <c r="P112" i="61" s="1"/>
  <c r="G128" i="61"/>
  <c r="K128" i="61"/>
  <c r="O128" i="61"/>
  <c r="Q131" i="61"/>
  <c r="AD131" i="61" s="1"/>
  <c r="J128" i="61"/>
  <c r="N128" i="61"/>
  <c r="Q132" i="61"/>
  <c r="AD132" i="61" s="1"/>
  <c r="M128" i="61"/>
  <c r="D123" i="61"/>
  <c r="Q130" i="61"/>
  <c r="AD130" i="61" s="1"/>
  <c r="Q135" i="61"/>
  <c r="AD135" i="61" s="1"/>
  <c r="E133" i="61"/>
  <c r="F128" i="61"/>
  <c r="F112" i="61" s="1"/>
  <c r="Q122" i="61"/>
  <c r="AD122" i="61" s="1"/>
  <c r="G112" i="61"/>
  <c r="J112" i="61"/>
  <c r="O112" i="61"/>
  <c r="N112" i="61"/>
  <c r="Q115" i="61"/>
  <c r="AD115" i="61" s="1"/>
  <c r="Q116" i="61"/>
  <c r="AD116" i="61" s="1"/>
  <c r="D113" i="61"/>
  <c r="Q113" i="61" s="1"/>
  <c r="AD113" i="61" s="1"/>
  <c r="Q123" i="61"/>
  <c r="AD123" i="61" s="1"/>
  <c r="I112" i="61"/>
  <c r="M112" i="61"/>
  <c r="Q114" i="61"/>
  <c r="AD114" i="61" s="1"/>
  <c r="Q134" i="61"/>
  <c r="AD134" i="61" s="1"/>
  <c r="Q125" i="61"/>
  <c r="AD125" i="61" s="1"/>
  <c r="D128" i="61"/>
  <c r="Q124" i="61"/>
  <c r="AD124" i="61" s="1"/>
  <c r="E128" i="61"/>
  <c r="E112" i="61" s="1"/>
  <c r="D118" i="61"/>
  <c r="Q97" i="61"/>
  <c r="K98" i="61"/>
  <c r="O88" i="61"/>
  <c r="H88" i="61"/>
  <c r="L88" i="61"/>
  <c r="P88" i="61"/>
  <c r="Q102" i="61"/>
  <c r="P98" i="61"/>
  <c r="M103" i="61"/>
  <c r="Q107" i="61"/>
  <c r="P103" i="61"/>
  <c r="Q110" i="61"/>
  <c r="J108" i="61"/>
  <c r="N108" i="61"/>
  <c r="Q111" i="61"/>
  <c r="I108" i="61"/>
  <c r="M108" i="61"/>
  <c r="Q90" i="61"/>
  <c r="Q96" i="61"/>
  <c r="H98" i="61"/>
  <c r="L98" i="61"/>
  <c r="O98" i="61"/>
  <c r="Q101" i="61"/>
  <c r="J98" i="61"/>
  <c r="N98" i="61"/>
  <c r="M98" i="61"/>
  <c r="H103" i="61"/>
  <c r="L103" i="61"/>
  <c r="Q105" i="61"/>
  <c r="O103" i="61"/>
  <c r="Q106" i="61"/>
  <c r="J103" i="61"/>
  <c r="N103" i="61"/>
  <c r="Q109" i="61"/>
  <c r="I98" i="61"/>
  <c r="I103" i="61"/>
  <c r="Q92" i="61"/>
  <c r="Q94" i="61"/>
  <c r="M88" i="61"/>
  <c r="I88" i="61"/>
  <c r="J88" i="61"/>
  <c r="N88" i="61"/>
  <c r="Q91" i="61"/>
  <c r="Q95" i="61"/>
  <c r="Q99" i="61"/>
  <c r="Q100" i="61"/>
  <c r="Q104" i="61"/>
  <c r="K103" i="61"/>
  <c r="K87" i="61" s="1"/>
  <c r="K86" i="61" s="1"/>
  <c r="Q89" i="61"/>
  <c r="S41" i="62"/>
  <c r="S33" i="62"/>
  <c r="F39" i="62"/>
  <c r="L38" i="71"/>
  <c r="L37" i="71"/>
  <c r="N3" i="71"/>
  <c r="O3" i="71"/>
  <c r="P3" i="71"/>
  <c r="Q3" i="71"/>
  <c r="R3" i="71"/>
  <c r="S3" i="71"/>
  <c r="T3" i="71"/>
  <c r="U3" i="71"/>
  <c r="V3" i="71"/>
  <c r="W3" i="71"/>
  <c r="X3" i="71"/>
  <c r="Y3" i="71"/>
  <c r="AB56" i="71"/>
  <c r="AB55" i="71"/>
  <c r="AB54" i="71"/>
  <c r="AB53" i="71"/>
  <c r="AB52" i="71"/>
  <c r="AB51" i="71"/>
  <c r="AB50" i="71"/>
  <c r="AB49" i="71"/>
  <c r="AB48" i="71"/>
  <c r="AB47" i="71"/>
  <c r="AB46" i="71"/>
  <c r="AB45" i="71"/>
  <c r="AB44" i="71"/>
  <c r="AB43" i="71"/>
  <c r="AB42" i="71"/>
  <c r="AB41" i="71"/>
  <c r="AB40" i="71"/>
  <c r="AB39" i="71"/>
  <c r="AB38" i="71"/>
  <c r="AB37" i="71"/>
  <c r="AB36" i="71"/>
  <c r="AB35" i="71"/>
  <c r="AB34" i="71"/>
  <c r="AB33" i="71"/>
  <c r="AB32" i="71"/>
  <c r="AB31" i="71"/>
  <c r="AB30" i="71"/>
  <c r="AB29" i="71"/>
  <c r="AB28" i="71"/>
  <c r="AB27" i="71"/>
  <c r="AB26" i="71"/>
  <c r="AB25" i="71"/>
  <c r="AB24" i="71"/>
  <c r="AB23" i="71"/>
  <c r="AB22" i="71"/>
  <c r="AB21" i="71"/>
  <c r="AB20" i="71"/>
  <c r="AB19" i="71"/>
  <c r="AB18" i="71"/>
  <c r="AB17" i="71"/>
  <c r="AB16" i="71"/>
  <c r="AB15" i="71"/>
  <c r="AB14" i="71"/>
  <c r="AB13" i="71"/>
  <c r="AB12" i="71"/>
  <c r="AB11" i="71"/>
  <c r="AB10" i="71"/>
  <c r="AB9" i="71"/>
  <c r="AB8" i="71"/>
  <c r="AB7" i="71"/>
  <c r="AB6" i="71"/>
  <c r="AB5" i="71"/>
  <c r="AB4" i="71"/>
  <c r="Z35" i="71"/>
  <c r="L35" i="71"/>
  <c r="Z34" i="71"/>
  <c r="L34" i="71"/>
  <c r="Z33" i="71"/>
  <c r="L33" i="71"/>
  <c r="Z32" i="71"/>
  <c r="L32" i="71"/>
  <c r="Z31" i="71"/>
  <c r="L31" i="71"/>
  <c r="Z30" i="71"/>
  <c r="L30" i="71"/>
  <c r="Z29" i="71"/>
  <c r="L29" i="71"/>
  <c r="Z28" i="71"/>
  <c r="L28" i="71"/>
  <c r="Z27" i="71"/>
  <c r="L27" i="71"/>
  <c r="Z26" i="71"/>
  <c r="L26" i="71"/>
  <c r="Z25" i="71"/>
  <c r="L25" i="71"/>
  <c r="Z24" i="71"/>
  <c r="L24" i="71"/>
  <c r="Z23" i="71"/>
  <c r="L23" i="71"/>
  <c r="Z22" i="71"/>
  <c r="L22" i="71"/>
  <c r="Z21" i="71"/>
  <c r="L21" i="71"/>
  <c r="Z20" i="71"/>
  <c r="L20" i="71"/>
  <c r="Z19" i="71"/>
  <c r="L19" i="71"/>
  <c r="Z18" i="71"/>
  <c r="L18" i="71"/>
  <c r="Z17" i="71"/>
  <c r="L17" i="71"/>
  <c r="Z16" i="71"/>
  <c r="L16" i="71"/>
  <c r="Z15" i="71"/>
  <c r="L15" i="71"/>
  <c r="Z14" i="71"/>
  <c r="L14" i="71"/>
  <c r="Z13" i="71"/>
  <c r="L13" i="71"/>
  <c r="Z12" i="71"/>
  <c r="L12" i="71"/>
  <c r="Z11" i="71"/>
  <c r="L11" i="71"/>
  <c r="Z10" i="71"/>
  <c r="L10" i="71"/>
  <c r="Z9" i="71"/>
  <c r="L9" i="71"/>
  <c r="Z8" i="71"/>
  <c r="L8" i="71"/>
  <c r="Z7" i="71"/>
  <c r="L7" i="71"/>
  <c r="Z6" i="71"/>
  <c r="L6" i="71"/>
  <c r="Z5" i="71"/>
  <c r="L5" i="71"/>
  <c r="Z4" i="71"/>
  <c r="L4" i="71"/>
  <c r="N2" i="71"/>
  <c r="O2" i="71" s="1"/>
  <c r="P2" i="71" s="1"/>
  <c r="Q2" i="71" s="1"/>
  <c r="R2" i="71" s="1"/>
  <c r="S2" i="71" s="1"/>
  <c r="T2" i="71" s="1"/>
  <c r="U2" i="71" s="1"/>
  <c r="V2" i="71" s="1"/>
  <c r="W2" i="71" s="1"/>
  <c r="X2" i="71" s="1"/>
  <c r="Y2" i="71" s="1"/>
  <c r="S39" i="62" l="1"/>
  <c r="Q133" i="61"/>
  <c r="AD133" i="61" s="1"/>
  <c r="Q128" i="61"/>
  <c r="AD128" i="61" s="1"/>
  <c r="Q118" i="61"/>
  <c r="AD118" i="61" s="1"/>
  <c r="D112" i="61"/>
  <c r="Q112" i="61" s="1"/>
  <c r="AD112" i="61" s="1"/>
  <c r="L87" i="61"/>
  <c r="L86" i="61" s="1"/>
  <c r="P87" i="61"/>
  <c r="P86" i="61" s="1"/>
  <c r="O87" i="61"/>
  <c r="O86" i="61" s="1"/>
  <c r="M87" i="61"/>
  <c r="M86" i="61" s="1"/>
  <c r="I87" i="61"/>
  <c r="I86" i="61" s="1"/>
  <c r="H87" i="61"/>
  <c r="H86" i="61" s="1"/>
  <c r="N87" i="61"/>
  <c r="N86" i="61" s="1"/>
  <c r="J87" i="61"/>
  <c r="J86" i="61" s="1"/>
  <c r="AB3" i="71"/>
  <c r="S56" i="28" l="1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S49" i="28"/>
  <c r="S50" i="28"/>
  <c r="S52" i="28"/>
  <c r="S54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T51" i="28" l="1"/>
  <c r="C29" i="70" l="1"/>
  <c r="C30" i="70"/>
  <c r="C31" i="70"/>
  <c r="C32" i="70"/>
  <c r="C33" i="70"/>
  <c r="C34" i="70"/>
  <c r="C35" i="70"/>
  <c r="C36" i="70"/>
  <c r="C37" i="70"/>
  <c r="C38" i="70"/>
  <c r="C39" i="70"/>
  <c r="C40" i="70"/>
  <c r="C41" i="70"/>
  <c r="C42" i="70"/>
  <c r="C43" i="70"/>
  <c r="C44" i="70"/>
  <c r="C45" i="70"/>
  <c r="C46" i="70"/>
  <c r="C47" i="70"/>
  <c r="C48" i="70"/>
  <c r="C49" i="70"/>
  <c r="C50" i="70"/>
  <c r="C28" i="70"/>
  <c r="C53" i="70"/>
  <c r="C54" i="70"/>
  <c r="C55" i="70"/>
  <c r="C56" i="70"/>
  <c r="C57" i="70"/>
  <c r="C58" i="70"/>
  <c r="C59" i="70"/>
  <c r="C60" i="70"/>
  <c r="C61" i="70"/>
  <c r="C62" i="70"/>
  <c r="C63" i="70"/>
  <c r="C64" i="70"/>
  <c r="C65" i="70"/>
  <c r="C66" i="70"/>
  <c r="C67" i="70"/>
  <c r="C68" i="70"/>
  <c r="C69" i="70"/>
  <c r="C70" i="70"/>
  <c r="C71" i="70"/>
  <c r="C72" i="70"/>
  <c r="C73" i="70"/>
  <c r="C74" i="70"/>
  <c r="C75" i="70"/>
  <c r="C76" i="70"/>
  <c r="C77" i="70"/>
  <c r="C78" i="70"/>
  <c r="C79" i="70"/>
  <c r="C80" i="70"/>
  <c r="C81" i="70"/>
  <c r="C82" i="70"/>
  <c r="C83" i="70"/>
  <c r="C84" i="70"/>
  <c r="C85" i="70"/>
  <c r="C86" i="70"/>
  <c r="C52" i="70"/>
  <c r="C5" i="70"/>
  <c r="C6" i="70"/>
  <c r="C7" i="70"/>
  <c r="C8" i="70"/>
  <c r="C9" i="70"/>
  <c r="C10" i="70"/>
  <c r="C11" i="70"/>
  <c r="C12" i="70"/>
  <c r="C13" i="70"/>
  <c r="C14" i="70"/>
  <c r="C15" i="70"/>
  <c r="C16" i="70"/>
  <c r="C17" i="70"/>
  <c r="C18" i="70"/>
  <c r="C19" i="70"/>
  <c r="C20" i="70"/>
  <c r="C21" i="70"/>
  <c r="C22" i="70"/>
  <c r="C23" i="70"/>
  <c r="C24" i="70"/>
  <c r="C25" i="70"/>
  <c r="C26" i="70"/>
  <c r="C4" i="70"/>
  <c r="E76" i="28" l="1"/>
  <c r="F76" i="28" s="1"/>
  <c r="G76" i="28" s="1"/>
  <c r="H76" i="28" s="1"/>
  <c r="I76" i="28" s="1"/>
  <c r="J76" i="28" s="1"/>
  <c r="K76" i="28" s="1"/>
  <c r="L76" i="28" s="1"/>
  <c r="M76" i="28" s="1"/>
  <c r="N76" i="28" s="1"/>
  <c r="O76" i="28" s="1"/>
  <c r="P76" i="28" s="1"/>
  <c r="Q76" i="28" s="1"/>
  <c r="E75" i="28"/>
  <c r="F75" i="28" s="1"/>
  <c r="G75" i="28" s="1"/>
  <c r="H75" i="28" s="1"/>
  <c r="I75" i="28" s="1"/>
  <c r="J75" i="28" s="1"/>
  <c r="K75" i="28" s="1"/>
  <c r="L75" i="28" s="1"/>
  <c r="M75" i="28" s="1"/>
  <c r="N75" i="28" s="1"/>
  <c r="O75" i="28" s="1"/>
  <c r="P75" i="28" s="1"/>
  <c r="Q75" i="28" s="1"/>
  <c r="G77" i="28"/>
  <c r="F77" i="28"/>
  <c r="E77" i="28"/>
  <c r="D77" i="28"/>
  <c r="E80" i="28" l="1"/>
  <c r="F80" i="28"/>
  <c r="G80" i="28"/>
  <c r="D80" i="28"/>
  <c r="D81" i="28" s="1"/>
  <c r="AF4" i="69"/>
  <c r="AE4" i="69"/>
  <c r="AD4" i="69"/>
  <c r="AC4" i="69"/>
  <c r="AB4" i="69"/>
  <c r="AA4" i="69"/>
  <c r="Z4" i="69"/>
  <c r="Y4" i="69"/>
  <c r="X4" i="69"/>
  <c r="W4" i="69"/>
  <c r="V4" i="69"/>
  <c r="U4" i="69"/>
  <c r="T4" i="69"/>
  <c r="S4" i="69"/>
  <c r="R4" i="69"/>
  <c r="Q4" i="69"/>
  <c r="P4" i="69"/>
  <c r="O4" i="69"/>
  <c r="AG6" i="69"/>
  <c r="I77" i="28" l="1"/>
  <c r="Q77" i="28"/>
  <c r="J77" i="28"/>
  <c r="L77" i="28"/>
  <c r="K77" i="28"/>
  <c r="O77" i="28"/>
  <c r="H77" i="28"/>
  <c r="M77" i="28"/>
  <c r="P77" i="28"/>
  <c r="N77" i="28"/>
  <c r="F69" i="28"/>
  <c r="G69" i="28"/>
  <c r="H69" i="28"/>
  <c r="I69" i="28"/>
  <c r="J69" i="28"/>
  <c r="K69" i="28"/>
  <c r="L69" i="28"/>
  <c r="M69" i="28"/>
  <c r="N69" i="28"/>
  <c r="O69" i="28"/>
  <c r="P69" i="28"/>
  <c r="Q69" i="28"/>
  <c r="E69" i="28"/>
  <c r="F67" i="28"/>
  <c r="G67" i="28"/>
  <c r="H67" i="28"/>
  <c r="I67" i="28"/>
  <c r="J67" i="28"/>
  <c r="K67" i="28"/>
  <c r="L67" i="28"/>
  <c r="M67" i="28"/>
  <c r="N67" i="28"/>
  <c r="O67" i="28"/>
  <c r="P67" i="28"/>
  <c r="Q67" i="28"/>
  <c r="E67" i="28"/>
  <c r="D67" i="28"/>
  <c r="E68" i="28"/>
  <c r="F68" i="28"/>
  <c r="G68" i="28"/>
  <c r="H68" i="28"/>
  <c r="I68" i="28"/>
  <c r="J68" i="28"/>
  <c r="K68" i="28"/>
  <c r="L68" i="28"/>
  <c r="M68" i="28"/>
  <c r="N68" i="28"/>
  <c r="O68" i="28"/>
  <c r="P68" i="28"/>
  <c r="Q68" i="28"/>
  <c r="D68" i="28"/>
  <c r="U5" i="54" l="1"/>
  <c r="K161" i="64" l="1"/>
  <c r="L161" i="64"/>
  <c r="M161" i="64"/>
  <c r="N161" i="64"/>
  <c r="O161" i="64"/>
  <c r="P161" i="64"/>
  <c r="Q161" i="64"/>
  <c r="R161" i="64"/>
  <c r="S161" i="64"/>
  <c r="G78" i="28" l="1"/>
  <c r="Q3" i="59" l="1"/>
  <c r="R3" i="59"/>
  <c r="S3" i="59"/>
  <c r="T3" i="59"/>
  <c r="U3" i="59"/>
  <c r="V3" i="59"/>
  <c r="W3" i="59"/>
  <c r="X3" i="59"/>
  <c r="Y3" i="59"/>
  <c r="N4" i="59"/>
  <c r="L4" i="59" s="1"/>
  <c r="F7" i="28" l="1"/>
  <c r="G7" i="28"/>
  <c r="H7" i="28"/>
  <c r="I7" i="28"/>
  <c r="J7" i="28"/>
  <c r="K7" i="28"/>
  <c r="L7" i="28"/>
  <c r="M7" i="28"/>
  <c r="N7" i="28"/>
  <c r="O7" i="28"/>
  <c r="P7" i="28"/>
  <c r="Q7" i="28"/>
  <c r="F8" i="28"/>
  <c r="G8" i="28"/>
  <c r="H8" i="28"/>
  <c r="I8" i="28"/>
  <c r="J8" i="28"/>
  <c r="K8" i="28"/>
  <c r="L8" i="28"/>
  <c r="M8" i="28"/>
  <c r="N8" i="28"/>
  <c r="O8" i="28"/>
  <c r="P8" i="28"/>
  <c r="Q8" i="28"/>
  <c r="E7" i="28"/>
  <c r="E8" i="28"/>
  <c r="E9" i="28"/>
  <c r="F9" i="28"/>
  <c r="F6" i="28" s="1"/>
  <c r="G9" i="28"/>
  <c r="H9" i="28"/>
  <c r="I9" i="28"/>
  <c r="J9" i="28"/>
  <c r="J6" i="28" s="1"/>
  <c r="K9" i="28"/>
  <c r="K6" i="28" s="1"/>
  <c r="L9" i="28"/>
  <c r="M9" i="28"/>
  <c r="N9" i="28"/>
  <c r="O9" i="28"/>
  <c r="O6" i="28" s="1"/>
  <c r="P9" i="28"/>
  <c r="Q9" i="28"/>
  <c r="Q6" i="28" s="1"/>
  <c r="D9" i="28"/>
  <c r="I6" i="28" l="1"/>
  <c r="N6" i="28"/>
  <c r="P6" i="28"/>
  <c r="M6" i="28"/>
  <c r="H6" i="28"/>
  <c r="G6" i="28"/>
  <c r="L6" i="28"/>
  <c r="E6" i="28"/>
  <c r="O3" i="55"/>
  <c r="P3" i="55"/>
  <c r="Q3" i="55"/>
  <c r="R3" i="55"/>
  <c r="S3" i="55"/>
  <c r="T3" i="55"/>
  <c r="U3" i="55"/>
  <c r="V3" i="55"/>
  <c r="W3" i="55"/>
  <c r="X3" i="55"/>
  <c r="L3" i="55"/>
  <c r="M3" i="55"/>
  <c r="N3" i="55"/>
  <c r="Y6" i="55"/>
  <c r="K6" i="55" s="1"/>
  <c r="Y7" i="55"/>
  <c r="K7" i="55" s="1"/>
  <c r="Y8" i="55"/>
  <c r="K8" i="55" s="1"/>
  <c r="Y9" i="55"/>
  <c r="K9" i="55" s="1"/>
  <c r="Y5" i="55"/>
  <c r="K5" i="55" s="1"/>
  <c r="F66" i="61"/>
  <c r="D66" i="61"/>
  <c r="D63" i="61"/>
  <c r="N73" i="61"/>
  <c r="E76" i="61"/>
  <c r="E75" i="61"/>
  <c r="E74" i="61"/>
  <c r="E73" i="61"/>
  <c r="D76" i="61"/>
  <c r="D74" i="61"/>
  <c r="D73" i="61"/>
  <c r="D71" i="61"/>
  <c r="Y4" i="55" l="1"/>
  <c r="Y23" i="54"/>
  <c r="K23" i="54" s="1"/>
  <c r="Q38" i="61"/>
  <c r="Q39" i="61"/>
  <c r="Q42" i="61"/>
  <c r="Q43" i="61"/>
  <c r="Q44" i="61"/>
  <c r="Q45" i="61"/>
  <c r="Y7" i="54"/>
  <c r="K7" i="54" s="1"/>
  <c r="Y8" i="54"/>
  <c r="K8" i="54" s="1"/>
  <c r="Y9" i="54"/>
  <c r="K9" i="54" s="1"/>
  <c r="Y10" i="54"/>
  <c r="K10" i="54" s="1"/>
  <c r="Y11" i="54"/>
  <c r="K11" i="54" s="1"/>
  <c r="Y12" i="54"/>
  <c r="K12" i="54" s="1"/>
  <c r="Y13" i="54"/>
  <c r="K13" i="54" s="1"/>
  <c r="Y14" i="54"/>
  <c r="K14" i="54" s="1"/>
  <c r="Y15" i="54"/>
  <c r="K15" i="54" s="1"/>
  <c r="Y16" i="54"/>
  <c r="K16" i="54" s="1"/>
  <c r="Y17" i="54"/>
  <c r="K17" i="54" s="1"/>
  <c r="Y18" i="54"/>
  <c r="K18" i="54" s="1"/>
  <c r="Y19" i="54"/>
  <c r="K19" i="54" s="1"/>
  <c r="Y20" i="54"/>
  <c r="K20" i="54" s="1"/>
  <c r="Y21" i="54"/>
  <c r="K21" i="54" s="1"/>
  <c r="Y22" i="54"/>
  <c r="K22" i="54" s="1"/>
  <c r="Y24" i="54"/>
  <c r="K24" i="54" s="1"/>
  <c r="Y25" i="54"/>
  <c r="K25" i="54" s="1"/>
  <c r="Y26" i="54"/>
  <c r="K26" i="54" s="1"/>
  <c r="Y27" i="54"/>
  <c r="K27" i="54" s="1"/>
  <c r="Y28" i="54"/>
  <c r="K28" i="54" s="1"/>
  <c r="Y29" i="54"/>
  <c r="K29" i="54" s="1"/>
  <c r="Y30" i="54"/>
  <c r="K30" i="54" s="1"/>
  <c r="K4" i="55" l="1"/>
  <c r="Y3" i="55"/>
  <c r="K3" i="55"/>
  <c r="Q41" i="61"/>
  <c r="D69" i="28" l="1"/>
  <c r="F62" i="28"/>
  <c r="G62" i="28"/>
  <c r="H62" i="28"/>
  <c r="I62" i="28"/>
  <c r="J62" i="28"/>
  <c r="K62" i="28"/>
  <c r="L62" i="28"/>
  <c r="M62" i="28"/>
  <c r="N62" i="28"/>
  <c r="O62" i="28"/>
  <c r="P62" i="28"/>
  <c r="Q62" i="28"/>
  <c r="E62" i="28"/>
  <c r="D51" i="70" l="1"/>
  <c r="E51" i="70"/>
  <c r="F51" i="70"/>
  <c r="G51" i="70"/>
  <c r="H51" i="70"/>
  <c r="I51" i="70"/>
  <c r="J51" i="70"/>
  <c r="K51" i="70"/>
  <c r="L51" i="70"/>
  <c r="M51" i="70"/>
  <c r="N51" i="70"/>
  <c r="O51" i="70"/>
  <c r="P51" i="70"/>
  <c r="Q51" i="70"/>
  <c r="R51" i="70"/>
  <c r="S51" i="70"/>
  <c r="T51" i="70"/>
  <c r="U51" i="70"/>
  <c r="C51" i="70"/>
  <c r="D27" i="70"/>
  <c r="E27" i="70"/>
  <c r="F27" i="70"/>
  <c r="G27" i="70"/>
  <c r="H27" i="70"/>
  <c r="I27" i="70"/>
  <c r="J27" i="70"/>
  <c r="K27" i="70"/>
  <c r="L27" i="70"/>
  <c r="M27" i="70"/>
  <c r="N27" i="70"/>
  <c r="O27" i="70"/>
  <c r="P27" i="70"/>
  <c r="Q27" i="70"/>
  <c r="R27" i="70"/>
  <c r="S27" i="70"/>
  <c r="T27" i="70"/>
  <c r="U27" i="70"/>
  <c r="C27" i="70"/>
  <c r="D3" i="70"/>
  <c r="E3" i="70"/>
  <c r="F3" i="70"/>
  <c r="G3" i="70"/>
  <c r="H3" i="70"/>
  <c r="I3" i="70"/>
  <c r="J3" i="70"/>
  <c r="K3" i="70"/>
  <c r="L3" i="70"/>
  <c r="M3" i="70"/>
  <c r="N3" i="70"/>
  <c r="O3" i="70"/>
  <c r="P3" i="70"/>
  <c r="Q3" i="70"/>
  <c r="R3" i="70"/>
  <c r="S3" i="70"/>
  <c r="T3" i="70"/>
  <c r="U3" i="70"/>
  <c r="C3" i="70"/>
  <c r="C88" i="70" l="1"/>
  <c r="R88" i="70"/>
  <c r="F88" i="70"/>
  <c r="N88" i="70"/>
  <c r="J88" i="70"/>
  <c r="Q88" i="70"/>
  <c r="E88" i="70"/>
  <c r="T88" i="70"/>
  <c r="H88" i="70"/>
  <c r="U88" i="70"/>
  <c r="M88" i="70"/>
  <c r="I88" i="70"/>
  <c r="P88" i="70"/>
  <c r="L88" i="70"/>
  <c r="D88" i="70"/>
  <c r="S88" i="70"/>
  <c r="O88" i="70"/>
  <c r="K88" i="70"/>
  <c r="G88" i="70"/>
  <c r="E66" i="28"/>
  <c r="F66" i="28"/>
  <c r="G66" i="28"/>
  <c r="H66" i="28"/>
  <c r="I66" i="28"/>
  <c r="J66" i="28"/>
  <c r="K66" i="28"/>
  <c r="L66" i="28"/>
  <c r="N66" i="28"/>
  <c r="O66" i="28"/>
  <c r="P66" i="28"/>
  <c r="Q66" i="28"/>
  <c r="M66" i="28"/>
  <c r="D66" i="28"/>
  <c r="D62" i="28"/>
  <c r="F78" i="28" l="1"/>
  <c r="H78" i="28"/>
  <c r="I78" i="28"/>
  <c r="J78" i="28"/>
  <c r="K78" i="28"/>
  <c r="L78" i="28"/>
  <c r="M78" i="28"/>
  <c r="N78" i="28"/>
  <c r="O78" i="28"/>
  <c r="P78" i="28"/>
  <c r="Q78" i="28"/>
  <c r="E78" i="28"/>
  <c r="F42" i="28"/>
  <c r="G42" i="28"/>
  <c r="H42" i="28"/>
  <c r="I42" i="28"/>
  <c r="J42" i="28"/>
  <c r="K42" i="28"/>
  <c r="L42" i="28"/>
  <c r="M42" i="28"/>
  <c r="N42" i="28"/>
  <c r="O42" i="28"/>
  <c r="P42" i="28"/>
  <c r="Q42" i="28"/>
  <c r="F43" i="28"/>
  <c r="G43" i="28"/>
  <c r="H43" i="28"/>
  <c r="I43" i="28"/>
  <c r="J43" i="28"/>
  <c r="K43" i="28"/>
  <c r="L43" i="28"/>
  <c r="M43" i="28"/>
  <c r="N43" i="28"/>
  <c r="O43" i="28"/>
  <c r="P43" i="28"/>
  <c r="Q43" i="28"/>
  <c r="F44" i="28"/>
  <c r="G44" i="28"/>
  <c r="H44" i="28"/>
  <c r="I44" i="28"/>
  <c r="J44" i="28"/>
  <c r="K44" i="28"/>
  <c r="L44" i="28"/>
  <c r="M44" i="28"/>
  <c r="N44" i="28"/>
  <c r="O44" i="28"/>
  <c r="P44" i="28"/>
  <c r="Q44" i="28"/>
  <c r="E44" i="28"/>
  <c r="E43" i="28"/>
  <c r="E42" i="28"/>
  <c r="F22" i="28"/>
  <c r="G22" i="28"/>
  <c r="H22" i="28"/>
  <c r="I22" i="28"/>
  <c r="J22" i="28"/>
  <c r="K22" i="28"/>
  <c r="L22" i="28"/>
  <c r="M22" i="28"/>
  <c r="N22" i="28"/>
  <c r="O22" i="28"/>
  <c r="P22" i="28"/>
  <c r="Q22" i="28"/>
  <c r="E22" i="28"/>
  <c r="F21" i="28"/>
  <c r="G21" i="28"/>
  <c r="H21" i="28"/>
  <c r="I21" i="28"/>
  <c r="J21" i="28"/>
  <c r="K21" i="28"/>
  <c r="L21" i="28"/>
  <c r="M21" i="28"/>
  <c r="N21" i="28"/>
  <c r="O21" i="28"/>
  <c r="P21" i="28"/>
  <c r="Q21" i="28"/>
  <c r="E21" i="28"/>
  <c r="F20" i="28"/>
  <c r="G20" i="28"/>
  <c r="H20" i="28"/>
  <c r="I20" i="28"/>
  <c r="J20" i="28"/>
  <c r="K20" i="28"/>
  <c r="L20" i="28"/>
  <c r="M20" i="28"/>
  <c r="N20" i="28"/>
  <c r="O20" i="28"/>
  <c r="P20" i="28"/>
  <c r="Q20" i="28"/>
  <c r="E20" i="28"/>
  <c r="F19" i="28" l="1"/>
  <c r="E41" i="28"/>
  <c r="N19" i="28"/>
  <c r="K19" i="28"/>
  <c r="I19" i="28"/>
  <c r="P19" i="28"/>
  <c r="Q19" i="28"/>
  <c r="O19" i="28"/>
  <c r="J19" i="28"/>
  <c r="I41" i="28"/>
  <c r="L19" i="28"/>
  <c r="P41" i="28"/>
  <c r="N41" i="28"/>
  <c r="K41" i="28"/>
  <c r="O41" i="28"/>
  <c r="M41" i="28"/>
  <c r="J41" i="28"/>
  <c r="Q41" i="28"/>
  <c r="L41" i="28"/>
  <c r="M19" i="28"/>
  <c r="I2" i="28" l="1"/>
  <c r="J2" i="28"/>
  <c r="K2" i="28"/>
  <c r="L2" i="28"/>
  <c r="M2" i="28"/>
  <c r="N2" i="28"/>
  <c r="O2" i="28"/>
  <c r="P2" i="28"/>
  <c r="Q2" i="28"/>
  <c r="H166" i="61" l="1"/>
  <c r="I166" i="61"/>
  <c r="J166" i="61"/>
  <c r="K166" i="61"/>
  <c r="L166" i="61"/>
  <c r="M166" i="61"/>
  <c r="N166" i="61"/>
  <c r="O166" i="61"/>
  <c r="P166" i="61"/>
  <c r="H167" i="61"/>
  <c r="I167" i="61"/>
  <c r="J167" i="61"/>
  <c r="K167" i="61"/>
  <c r="L167" i="61"/>
  <c r="M167" i="61"/>
  <c r="N167" i="61"/>
  <c r="O167" i="61"/>
  <c r="P167" i="61"/>
  <c r="H168" i="61"/>
  <c r="I168" i="61"/>
  <c r="J168" i="61"/>
  <c r="K168" i="61"/>
  <c r="L168" i="61"/>
  <c r="M168" i="61"/>
  <c r="N168" i="61"/>
  <c r="O168" i="61"/>
  <c r="P168" i="61"/>
  <c r="H169" i="61"/>
  <c r="I169" i="61"/>
  <c r="J169" i="61"/>
  <c r="K169" i="61"/>
  <c r="L169" i="61"/>
  <c r="M169" i="61"/>
  <c r="N169" i="61"/>
  <c r="O169" i="61"/>
  <c r="P169" i="61"/>
  <c r="H171" i="61"/>
  <c r="I171" i="61"/>
  <c r="J171" i="61"/>
  <c r="K171" i="61"/>
  <c r="L171" i="61"/>
  <c r="M171" i="61"/>
  <c r="N171" i="61"/>
  <c r="O171" i="61"/>
  <c r="P171" i="61"/>
  <c r="H172" i="61"/>
  <c r="I172" i="61"/>
  <c r="J172" i="61"/>
  <c r="K172" i="61"/>
  <c r="L172" i="61"/>
  <c r="M172" i="61"/>
  <c r="N172" i="61"/>
  <c r="O172" i="61"/>
  <c r="P172" i="61"/>
  <c r="H173" i="61"/>
  <c r="I173" i="61"/>
  <c r="J173" i="61"/>
  <c r="K173" i="61"/>
  <c r="L173" i="61"/>
  <c r="M173" i="61"/>
  <c r="N173" i="61"/>
  <c r="O173" i="61"/>
  <c r="P173" i="61"/>
  <c r="H174" i="61"/>
  <c r="I174" i="61"/>
  <c r="J174" i="61"/>
  <c r="K174" i="61"/>
  <c r="L174" i="61"/>
  <c r="M174" i="61"/>
  <c r="N174" i="61"/>
  <c r="O174" i="61"/>
  <c r="P174" i="61"/>
  <c r="H176" i="61"/>
  <c r="I176" i="61"/>
  <c r="J176" i="61"/>
  <c r="K176" i="61"/>
  <c r="L176" i="61"/>
  <c r="M176" i="61"/>
  <c r="N176" i="61"/>
  <c r="O176" i="61"/>
  <c r="P176" i="61"/>
  <c r="H177" i="61"/>
  <c r="I177" i="61"/>
  <c r="J177" i="61"/>
  <c r="K177" i="61"/>
  <c r="L177" i="61"/>
  <c r="M177" i="61"/>
  <c r="N177" i="61"/>
  <c r="O177" i="61"/>
  <c r="P177" i="61"/>
  <c r="H178" i="61"/>
  <c r="I178" i="61"/>
  <c r="J178" i="61"/>
  <c r="K178" i="61"/>
  <c r="L178" i="61"/>
  <c r="M178" i="61"/>
  <c r="N178" i="61"/>
  <c r="O178" i="61"/>
  <c r="P178" i="61"/>
  <c r="H179" i="61"/>
  <c r="I179" i="61"/>
  <c r="J179" i="61"/>
  <c r="K179" i="61"/>
  <c r="L179" i="61"/>
  <c r="M179" i="61"/>
  <c r="N179" i="61"/>
  <c r="O179" i="61"/>
  <c r="P179" i="61"/>
  <c r="H181" i="61"/>
  <c r="I181" i="61"/>
  <c r="J181" i="61"/>
  <c r="K181" i="61"/>
  <c r="L181" i="61"/>
  <c r="M181" i="61"/>
  <c r="N181" i="61"/>
  <c r="O181" i="61"/>
  <c r="P181" i="61"/>
  <c r="H182" i="61"/>
  <c r="I182" i="61"/>
  <c r="J182" i="61"/>
  <c r="K182" i="61"/>
  <c r="L182" i="61"/>
  <c r="M182" i="61"/>
  <c r="N182" i="61"/>
  <c r="O182" i="61"/>
  <c r="P182" i="61"/>
  <c r="H183" i="61"/>
  <c r="I183" i="61"/>
  <c r="J183" i="61"/>
  <c r="K183" i="61"/>
  <c r="L183" i="61"/>
  <c r="M183" i="61"/>
  <c r="N183" i="61"/>
  <c r="O183" i="61"/>
  <c r="P183" i="61"/>
  <c r="H184" i="61"/>
  <c r="I184" i="61"/>
  <c r="J184" i="61"/>
  <c r="K184" i="61"/>
  <c r="L184" i="61"/>
  <c r="M184" i="61"/>
  <c r="N184" i="61"/>
  <c r="O184" i="61"/>
  <c r="P184" i="61"/>
  <c r="H186" i="61"/>
  <c r="I186" i="61"/>
  <c r="J186" i="61"/>
  <c r="K186" i="61"/>
  <c r="L186" i="61"/>
  <c r="M186" i="61"/>
  <c r="N186" i="61"/>
  <c r="O186" i="61"/>
  <c r="P186" i="61"/>
  <c r="H187" i="61"/>
  <c r="I187" i="61"/>
  <c r="J187" i="61"/>
  <c r="K187" i="61"/>
  <c r="L187" i="61"/>
  <c r="M187" i="61"/>
  <c r="N187" i="61"/>
  <c r="O187" i="61"/>
  <c r="P187" i="61"/>
  <c r="H188" i="61"/>
  <c r="I188" i="61"/>
  <c r="J188" i="61"/>
  <c r="K188" i="61"/>
  <c r="L188" i="61"/>
  <c r="M188" i="61"/>
  <c r="N188" i="61"/>
  <c r="O188" i="61"/>
  <c r="P188" i="61"/>
  <c r="H140" i="61"/>
  <c r="I140" i="61"/>
  <c r="J140" i="61"/>
  <c r="K140" i="61"/>
  <c r="L140" i="61"/>
  <c r="M140" i="61"/>
  <c r="N140" i="61"/>
  <c r="O140" i="61"/>
  <c r="P140" i="61"/>
  <c r="H141" i="61"/>
  <c r="I141" i="61"/>
  <c r="J141" i="61"/>
  <c r="K141" i="61"/>
  <c r="L141" i="61"/>
  <c r="M141" i="61"/>
  <c r="N141" i="61"/>
  <c r="O141" i="61"/>
  <c r="P141" i="61"/>
  <c r="H142" i="61"/>
  <c r="I142" i="61"/>
  <c r="J142" i="61"/>
  <c r="K142" i="61"/>
  <c r="L142" i="61"/>
  <c r="M142" i="61"/>
  <c r="N142" i="61"/>
  <c r="O142" i="61"/>
  <c r="P142" i="61"/>
  <c r="H143" i="61"/>
  <c r="I143" i="61"/>
  <c r="J143" i="61"/>
  <c r="K143" i="61"/>
  <c r="L143" i="61"/>
  <c r="M143" i="61"/>
  <c r="N143" i="61"/>
  <c r="O143" i="61"/>
  <c r="P143" i="61"/>
  <c r="H145" i="61"/>
  <c r="I145" i="61"/>
  <c r="J145" i="61"/>
  <c r="K145" i="61"/>
  <c r="L145" i="61"/>
  <c r="M145" i="61"/>
  <c r="N145" i="61"/>
  <c r="O145" i="61"/>
  <c r="P145" i="61"/>
  <c r="H146" i="61"/>
  <c r="I146" i="61"/>
  <c r="J146" i="61"/>
  <c r="K146" i="61"/>
  <c r="L146" i="61"/>
  <c r="M146" i="61"/>
  <c r="N146" i="61"/>
  <c r="O146" i="61"/>
  <c r="P146" i="61"/>
  <c r="H147" i="61"/>
  <c r="I147" i="61"/>
  <c r="J147" i="61"/>
  <c r="K147" i="61"/>
  <c r="L147" i="61"/>
  <c r="M147" i="61"/>
  <c r="N147" i="61"/>
  <c r="O147" i="61"/>
  <c r="P147" i="61"/>
  <c r="H148" i="61"/>
  <c r="I148" i="61"/>
  <c r="J148" i="61"/>
  <c r="K148" i="61"/>
  <c r="L148" i="61"/>
  <c r="M148" i="61"/>
  <c r="N148" i="61"/>
  <c r="O148" i="61"/>
  <c r="P148" i="61"/>
  <c r="H150" i="61"/>
  <c r="I150" i="61"/>
  <c r="J150" i="61"/>
  <c r="K150" i="61"/>
  <c r="L150" i="61"/>
  <c r="M150" i="61"/>
  <c r="N150" i="61"/>
  <c r="O150" i="61"/>
  <c r="P150" i="61"/>
  <c r="H151" i="61"/>
  <c r="I151" i="61"/>
  <c r="J151" i="61"/>
  <c r="K151" i="61"/>
  <c r="L151" i="61"/>
  <c r="M151" i="61"/>
  <c r="N151" i="61"/>
  <c r="O151" i="61"/>
  <c r="P151" i="61"/>
  <c r="H152" i="61"/>
  <c r="I152" i="61"/>
  <c r="J152" i="61"/>
  <c r="K152" i="61"/>
  <c r="L152" i="61"/>
  <c r="M152" i="61"/>
  <c r="N152" i="61"/>
  <c r="O152" i="61"/>
  <c r="P152" i="61"/>
  <c r="H153" i="61"/>
  <c r="I153" i="61"/>
  <c r="J153" i="61"/>
  <c r="K153" i="61"/>
  <c r="L153" i="61"/>
  <c r="M153" i="61"/>
  <c r="N153" i="61"/>
  <c r="O153" i="61"/>
  <c r="P153" i="61"/>
  <c r="H155" i="61"/>
  <c r="I155" i="61"/>
  <c r="J155" i="61"/>
  <c r="K155" i="61"/>
  <c r="L155" i="61"/>
  <c r="M155" i="61"/>
  <c r="N155" i="61"/>
  <c r="O155" i="61"/>
  <c r="P155" i="61"/>
  <c r="H156" i="61"/>
  <c r="I156" i="61"/>
  <c r="J156" i="61"/>
  <c r="K156" i="61"/>
  <c r="L156" i="61"/>
  <c r="M156" i="61"/>
  <c r="N156" i="61"/>
  <c r="O156" i="61"/>
  <c r="P156" i="61"/>
  <c r="H157" i="61"/>
  <c r="I157" i="61"/>
  <c r="J157" i="61"/>
  <c r="K157" i="61"/>
  <c r="L157" i="61"/>
  <c r="M157" i="61"/>
  <c r="N157" i="61"/>
  <c r="O157" i="61"/>
  <c r="P157" i="61"/>
  <c r="H158" i="61"/>
  <c r="I158" i="61"/>
  <c r="J158" i="61"/>
  <c r="K158" i="61"/>
  <c r="L158" i="61"/>
  <c r="M158" i="61"/>
  <c r="N158" i="61"/>
  <c r="O158" i="61"/>
  <c r="P158" i="61"/>
  <c r="H160" i="61"/>
  <c r="I160" i="61"/>
  <c r="J160" i="61"/>
  <c r="K160" i="61"/>
  <c r="L160" i="61"/>
  <c r="M160" i="61"/>
  <c r="N160" i="61"/>
  <c r="O160" i="61"/>
  <c r="P160" i="61"/>
  <c r="H161" i="61"/>
  <c r="I161" i="61"/>
  <c r="J161" i="61"/>
  <c r="K161" i="61"/>
  <c r="L161" i="61"/>
  <c r="M161" i="61"/>
  <c r="N161" i="61"/>
  <c r="O161" i="61"/>
  <c r="P161" i="61"/>
  <c r="H162" i="61"/>
  <c r="I162" i="61"/>
  <c r="J162" i="61"/>
  <c r="K162" i="61"/>
  <c r="L162" i="61"/>
  <c r="M162" i="61"/>
  <c r="N162" i="61"/>
  <c r="O162" i="61"/>
  <c r="P162" i="61"/>
  <c r="J58" i="62"/>
  <c r="K58" i="62"/>
  <c r="L58" i="62"/>
  <c r="M58" i="62"/>
  <c r="N58" i="62"/>
  <c r="O58" i="62"/>
  <c r="P58" i="62"/>
  <c r="Q58" i="62"/>
  <c r="R58" i="62"/>
  <c r="J59" i="62"/>
  <c r="K59" i="62"/>
  <c r="L59" i="62"/>
  <c r="M59" i="62"/>
  <c r="N59" i="62"/>
  <c r="O59" i="62"/>
  <c r="P59" i="62"/>
  <c r="Q59" i="62"/>
  <c r="R59" i="62"/>
  <c r="J60" i="62"/>
  <c r="K60" i="62"/>
  <c r="L60" i="62"/>
  <c r="M60" i="62"/>
  <c r="N60" i="62"/>
  <c r="O60" i="62"/>
  <c r="P60" i="62"/>
  <c r="Q60" i="62"/>
  <c r="R60" i="62"/>
  <c r="J61" i="62"/>
  <c r="K61" i="62"/>
  <c r="L61" i="62"/>
  <c r="M61" i="62"/>
  <c r="N61" i="62"/>
  <c r="O61" i="62"/>
  <c r="P61" i="62"/>
  <c r="Q61" i="62"/>
  <c r="R61" i="62"/>
  <c r="J53" i="62"/>
  <c r="K53" i="62"/>
  <c r="L53" i="62"/>
  <c r="M53" i="62"/>
  <c r="N53" i="62"/>
  <c r="O53" i="62"/>
  <c r="P53" i="62"/>
  <c r="Q53" i="62"/>
  <c r="R53" i="62"/>
  <c r="F49" i="62"/>
  <c r="G49" i="62"/>
  <c r="H49" i="62"/>
  <c r="I49" i="62"/>
  <c r="J49" i="62"/>
  <c r="K49" i="62"/>
  <c r="L49" i="62"/>
  <c r="M49" i="62"/>
  <c r="N49" i="62"/>
  <c r="O49" i="62"/>
  <c r="P49" i="62"/>
  <c r="Q49" i="62"/>
  <c r="R49" i="62"/>
  <c r="F50" i="62"/>
  <c r="G50" i="62"/>
  <c r="H50" i="62"/>
  <c r="I50" i="62"/>
  <c r="J50" i="62"/>
  <c r="K50" i="62"/>
  <c r="L50" i="62"/>
  <c r="M50" i="62"/>
  <c r="N50" i="62"/>
  <c r="O50" i="62"/>
  <c r="P50" i="62"/>
  <c r="Q50" i="62"/>
  <c r="R50" i="62"/>
  <c r="F51" i="62"/>
  <c r="G51" i="62"/>
  <c r="H51" i="62"/>
  <c r="I51" i="62"/>
  <c r="J51" i="62"/>
  <c r="K51" i="62"/>
  <c r="L51" i="62"/>
  <c r="M51" i="62"/>
  <c r="N51" i="62"/>
  <c r="O51" i="62"/>
  <c r="P51" i="62"/>
  <c r="Q51" i="62"/>
  <c r="R51" i="62"/>
  <c r="F52" i="62"/>
  <c r="G52" i="62"/>
  <c r="H52" i="62"/>
  <c r="I52" i="62"/>
  <c r="J52" i="62"/>
  <c r="K52" i="62"/>
  <c r="L52" i="62"/>
  <c r="M52" i="62"/>
  <c r="N52" i="62"/>
  <c r="O52" i="62"/>
  <c r="P52" i="62"/>
  <c r="Q52" i="62"/>
  <c r="R52" i="62"/>
  <c r="F173" i="64"/>
  <c r="F174" i="64"/>
  <c r="F175" i="64"/>
  <c r="F176" i="64"/>
  <c r="F177" i="64"/>
  <c r="F178" i="64"/>
  <c r="F179" i="64"/>
  <c r="F180" i="64"/>
  <c r="F181" i="64"/>
  <c r="F182" i="64"/>
  <c r="F183" i="64"/>
  <c r="F184" i="64"/>
  <c r="F185" i="64"/>
  <c r="F186" i="64"/>
  <c r="D186" i="64"/>
  <c r="D185" i="64"/>
  <c r="D184" i="64"/>
  <c r="D183" i="64"/>
  <c r="D182" i="64"/>
  <c r="D181" i="64"/>
  <c r="D180" i="64"/>
  <c r="D179" i="64"/>
  <c r="D178" i="64"/>
  <c r="D177" i="64"/>
  <c r="D176" i="64"/>
  <c r="D175" i="64"/>
  <c r="D174" i="64"/>
  <c r="D173" i="64"/>
  <c r="F198" i="64"/>
  <c r="F199" i="64"/>
  <c r="F200" i="64"/>
  <c r="F201" i="64"/>
  <c r="F202" i="64"/>
  <c r="F203" i="64"/>
  <c r="F204" i="64"/>
  <c r="F205" i="64"/>
  <c r="F206" i="64"/>
  <c r="D206" i="64"/>
  <c r="D205" i="64"/>
  <c r="D204" i="64"/>
  <c r="D203" i="64"/>
  <c r="D202" i="64"/>
  <c r="D201" i="64"/>
  <c r="D200" i="64"/>
  <c r="D199" i="64"/>
  <c r="D198" i="64"/>
  <c r="AG5" i="69"/>
  <c r="AG4" i="69" s="1"/>
  <c r="R6" i="58"/>
  <c r="S6" i="58"/>
  <c r="T6" i="58"/>
  <c r="U6" i="58"/>
  <c r="V6" i="58"/>
  <c r="W6" i="58"/>
  <c r="X6" i="58"/>
  <c r="Y6" i="58"/>
  <c r="Z6" i="58"/>
  <c r="AA6" i="58"/>
  <c r="AB6" i="58"/>
  <c r="AC6" i="58"/>
  <c r="AD6" i="58"/>
  <c r="AE6" i="58"/>
  <c r="R3" i="58"/>
  <c r="S3" i="58"/>
  <c r="T3" i="58"/>
  <c r="U3" i="58"/>
  <c r="V3" i="58"/>
  <c r="W3" i="58"/>
  <c r="X3" i="58"/>
  <c r="Y3" i="58"/>
  <c r="Z3" i="58"/>
  <c r="AA3" i="58"/>
  <c r="AB3" i="58"/>
  <c r="AC3" i="58"/>
  <c r="AD3" i="58"/>
  <c r="AE3" i="58"/>
  <c r="P5" i="59"/>
  <c r="Q5" i="59"/>
  <c r="R5" i="59"/>
  <c r="S5" i="59"/>
  <c r="T5" i="59"/>
  <c r="U5" i="59"/>
  <c r="V5" i="59"/>
  <c r="W5" i="59"/>
  <c r="X5" i="59"/>
  <c r="Y5" i="59"/>
  <c r="Z4" i="59"/>
  <c r="M5" i="69"/>
  <c r="K170" i="61" l="1"/>
  <c r="R178" i="64"/>
  <c r="R177" i="64"/>
  <c r="O180" i="61"/>
  <c r="K175" i="61"/>
  <c r="N180" i="61"/>
  <c r="J175" i="61"/>
  <c r="M180" i="61"/>
  <c r="I180" i="61"/>
  <c r="I175" i="61"/>
  <c r="O165" i="61"/>
  <c r="P180" i="61"/>
  <c r="H180" i="61"/>
  <c r="H175" i="61"/>
  <c r="S204" i="64"/>
  <c r="S206" i="64"/>
  <c r="S205" i="64"/>
  <c r="P198" i="64"/>
  <c r="S203" i="64"/>
  <c r="P201" i="64"/>
  <c r="P200" i="64"/>
  <c r="P199" i="64"/>
  <c r="O175" i="64"/>
  <c r="S174" i="64"/>
  <c r="Q200" i="64"/>
  <c r="S199" i="64"/>
  <c r="O177" i="64"/>
  <c r="S198" i="64"/>
  <c r="Q204" i="64"/>
  <c r="Q203" i="64"/>
  <c r="Q199" i="64"/>
  <c r="M173" i="64"/>
  <c r="R205" i="64"/>
  <c r="R204" i="64"/>
  <c r="O176" i="64"/>
  <c r="R203" i="64"/>
  <c r="Q201" i="64"/>
  <c r="R201" i="64"/>
  <c r="R198" i="64"/>
  <c r="Q202" i="64"/>
  <c r="Q198" i="64"/>
  <c r="S200" i="64"/>
  <c r="S201" i="64"/>
  <c r="M198" i="64"/>
  <c r="R200" i="64"/>
  <c r="N201" i="64"/>
  <c r="N200" i="64"/>
  <c r="N199" i="64"/>
  <c r="N176" i="64"/>
  <c r="R199" i="64"/>
  <c r="S202" i="64"/>
  <c r="L198" i="64"/>
  <c r="M200" i="64"/>
  <c r="N198" i="64"/>
  <c r="N175" i="64"/>
  <c r="O202" i="64"/>
  <c r="N173" i="64"/>
  <c r="O201" i="64"/>
  <c r="O173" i="64"/>
  <c r="R202" i="64"/>
  <c r="O200" i="64"/>
  <c r="P176" i="64"/>
  <c r="O199" i="64"/>
  <c r="P175" i="64"/>
  <c r="O198" i="64"/>
  <c r="P174" i="64"/>
  <c r="P203" i="64"/>
  <c r="P173" i="64"/>
  <c r="K198" i="64"/>
  <c r="L199" i="64"/>
  <c r="M199" i="64"/>
  <c r="P202" i="64"/>
  <c r="Q178" i="64"/>
  <c r="Q177" i="64"/>
  <c r="Q175" i="64"/>
  <c r="Q174" i="64"/>
  <c r="R179" i="64"/>
  <c r="L154" i="61"/>
  <c r="P185" i="61"/>
  <c r="O185" i="61"/>
  <c r="N185" i="61"/>
  <c r="K180" i="61"/>
  <c r="K185" i="61"/>
  <c r="M165" i="61"/>
  <c r="H165" i="61"/>
  <c r="L180" i="61"/>
  <c r="I185" i="61"/>
  <c r="L185" i="61"/>
  <c r="P170" i="61"/>
  <c r="O170" i="61"/>
  <c r="N170" i="61"/>
  <c r="M170" i="61"/>
  <c r="J165" i="61"/>
  <c r="L170" i="61"/>
  <c r="J180" i="61"/>
  <c r="K165" i="61"/>
  <c r="J170" i="61"/>
  <c r="J185" i="61"/>
  <c r="I170" i="61"/>
  <c r="M185" i="61"/>
  <c r="H170" i="61"/>
  <c r="H164" i="61" s="1"/>
  <c r="H163" i="61" s="1"/>
  <c r="P165" i="61"/>
  <c r="N165" i="61"/>
  <c r="K149" i="61"/>
  <c r="P175" i="61"/>
  <c r="L165" i="61"/>
  <c r="O175" i="61"/>
  <c r="N175" i="61"/>
  <c r="I165" i="61"/>
  <c r="M175" i="61"/>
  <c r="H185" i="61"/>
  <c r="L175" i="61"/>
  <c r="N48" i="62"/>
  <c r="N47" i="62" s="1"/>
  <c r="O48" i="62"/>
  <c r="O47" i="62" s="1"/>
  <c r="R57" i="62"/>
  <c r="R56" i="62" s="1"/>
  <c r="Q57" i="62"/>
  <c r="Q56" i="62" s="1"/>
  <c r="P57" i="62"/>
  <c r="P56" i="62" s="1"/>
  <c r="O57" i="62"/>
  <c r="O56" i="62" s="1"/>
  <c r="N57" i="62"/>
  <c r="N56" i="62" s="1"/>
  <c r="M57" i="62"/>
  <c r="M56" i="62" s="1"/>
  <c r="L57" i="62"/>
  <c r="L56" i="62" s="1"/>
  <c r="K57" i="62"/>
  <c r="K56" i="62" s="1"/>
  <c r="J57" i="62"/>
  <c r="J56" i="62" s="1"/>
  <c r="N174" i="64"/>
  <c r="M144" i="61"/>
  <c r="K144" i="61"/>
  <c r="Q176" i="64"/>
  <c r="P149" i="61"/>
  <c r="K154" i="61"/>
  <c r="O149" i="61"/>
  <c r="J154" i="61"/>
  <c r="N149" i="61"/>
  <c r="M149" i="61"/>
  <c r="L149" i="61"/>
  <c r="J149" i="61"/>
  <c r="I149" i="61"/>
  <c r="H149" i="61"/>
  <c r="R174" i="64"/>
  <c r="M48" i="62"/>
  <c r="M47" i="62" s="1"/>
  <c r="P48" i="62"/>
  <c r="P47" i="62" s="1"/>
  <c r="R175" i="64"/>
  <c r="R173" i="64"/>
  <c r="K139" i="61"/>
  <c r="L48" i="62"/>
  <c r="L47" i="62" s="1"/>
  <c r="J139" i="61"/>
  <c r="P154" i="61"/>
  <c r="H139" i="61"/>
  <c r="J48" i="62"/>
  <c r="J47" i="62" s="1"/>
  <c r="Q173" i="64"/>
  <c r="K48" i="62"/>
  <c r="K47" i="62" s="1"/>
  <c r="O144" i="61"/>
  <c r="N144" i="61"/>
  <c r="R176" i="64"/>
  <c r="S173" i="64"/>
  <c r="K173" i="64"/>
  <c r="L173" i="64"/>
  <c r="M175" i="64"/>
  <c r="M174" i="64"/>
  <c r="L174" i="64"/>
  <c r="O174" i="64"/>
  <c r="H144" i="61"/>
  <c r="P178" i="64"/>
  <c r="P177" i="64"/>
  <c r="I154" i="61"/>
  <c r="N154" i="61"/>
  <c r="H154" i="61"/>
  <c r="P144" i="61"/>
  <c r="R48" i="62"/>
  <c r="R47" i="62" s="1"/>
  <c r="M154" i="61"/>
  <c r="Q179" i="64"/>
  <c r="Q48" i="62"/>
  <c r="Q47" i="62" s="1"/>
  <c r="R180" i="64"/>
  <c r="S181" i="64"/>
  <c r="P199" i="61"/>
  <c r="S180" i="64"/>
  <c r="O199" i="61"/>
  <c r="S179" i="64"/>
  <c r="N199" i="61"/>
  <c r="S178" i="64"/>
  <c r="M199" i="61"/>
  <c r="L199" i="61"/>
  <c r="S177" i="64"/>
  <c r="S176" i="64"/>
  <c r="K199" i="61"/>
  <c r="S175" i="64"/>
  <c r="J199" i="61"/>
  <c r="I199" i="61"/>
  <c r="AF6" i="58"/>
  <c r="P139" i="61"/>
  <c r="H199" i="61"/>
  <c r="J144" i="61"/>
  <c r="O139" i="61"/>
  <c r="O154" i="61"/>
  <c r="N139" i="61"/>
  <c r="M139" i="61"/>
  <c r="L139" i="61"/>
  <c r="I139" i="61"/>
  <c r="L144" i="61"/>
  <c r="I144" i="61"/>
  <c r="AD187" i="64"/>
  <c r="O159" i="61"/>
  <c r="M159" i="61"/>
  <c r="L159" i="61"/>
  <c r="P159" i="61"/>
  <c r="K159" i="61"/>
  <c r="J159" i="61"/>
  <c r="I159" i="61"/>
  <c r="H159" i="61"/>
  <c r="N159" i="61"/>
  <c r="AB21" i="58"/>
  <c r="AA21" i="58"/>
  <c r="AE21" i="58"/>
  <c r="W21" i="58"/>
  <c r="AC21" i="58"/>
  <c r="Z21" i="58"/>
  <c r="AD21" i="58"/>
  <c r="Y21" i="58"/>
  <c r="X21" i="58"/>
  <c r="V21" i="58"/>
  <c r="U21" i="58"/>
  <c r="T21" i="58"/>
  <c r="S21" i="58"/>
  <c r="R21" i="58"/>
  <c r="K164" i="61" l="1"/>
  <c r="K163" i="61" s="1"/>
  <c r="N138" i="61"/>
  <c r="N137" i="61" s="1"/>
  <c r="P138" i="61"/>
  <c r="P137" i="61" s="1"/>
  <c r="I164" i="61"/>
  <c r="I163" i="61" s="1"/>
  <c r="O164" i="61"/>
  <c r="O163" i="61" s="1"/>
  <c r="L164" i="61"/>
  <c r="L163" i="61" s="1"/>
  <c r="P164" i="61"/>
  <c r="P163" i="61" s="1"/>
  <c r="J164" i="61"/>
  <c r="J163" i="61" s="1"/>
  <c r="K138" i="61"/>
  <c r="K137" i="61" s="1"/>
  <c r="O138" i="61"/>
  <c r="O137" i="61" s="1"/>
  <c r="N164" i="61"/>
  <c r="N163" i="61" s="1"/>
  <c r="M164" i="61"/>
  <c r="M163" i="61" s="1"/>
  <c r="J138" i="61"/>
  <c r="J137" i="61" s="1"/>
  <c r="I138" i="61"/>
  <c r="I137" i="61" s="1"/>
  <c r="L138" i="61"/>
  <c r="L137" i="61" s="1"/>
  <c r="H138" i="61"/>
  <c r="H137" i="61" s="1"/>
  <c r="M138" i="61"/>
  <c r="M137" i="61" s="1"/>
  <c r="AG31" i="69"/>
  <c r="AG32" i="69"/>
  <c r="AG33" i="69"/>
  <c r="AG34" i="69"/>
  <c r="AG35" i="69"/>
  <c r="AG36" i="69"/>
  <c r="AG37" i="69"/>
  <c r="AG38" i="69"/>
  <c r="AG39" i="69"/>
  <c r="AG40" i="69"/>
  <c r="AG41" i="69"/>
  <c r="AG42" i="69"/>
  <c r="AG43" i="69"/>
  <c r="AG44" i="69"/>
  <c r="AG45" i="69"/>
  <c r="AG46" i="69"/>
  <c r="J86" i="62" l="1"/>
  <c r="K86" i="62"/>
  <c r="L86" i="62"/>
  <c r="M86" i="62"/>
  <c r="N86" i="62"/>
  <c r="O86" i="62"/>
  <c r="P86" i="62"/>
  <c r="Q86" i="62"/>
  <c r="R86" i="62"/>
  <c r="J87" i="62"/>
  <c r="K87" i="62"/>
  <c r="L87" i="62"/>
  <c r="M87" i="62"/>
  <c r="N87" i="62"/>
  <c r="O87" i="62"/>
  <c r="P87" i="62"/>
  <c r="Q87" i="62"/>
  <c r="R87" i="62"/>
  <c r="J88" i="62"/>
  <c r="K88" i="62"/>
  <c r="L88" i="62"/>
  <c r="M88" i="62"/>
  <c r="N88" i="62"/>
  <c r="O88" i="62"/>
  <c r="P88" i="62"/>
  <c r="Q88" i="62"/>
  <c r="R88" i="62"/>
  <c r="J89" i="62"/>
  <c r="K89" i="62"/>
  <c r="L89" i="62"/>
  <c r="M89" i="62"/>
  <c r="N89" i="62"/>
  <c r="O89" i="62"/>
  <c r="P89" i="62"/>
  <c r="Q89" i="62"/>
  <c r="R89" i="62"/>
  <c r="J91" i="62"/>
  <c r="K91" i="62"/>
  <c r="L91" i="62"/>
  <c r="M91" i="62"/>
  <c r="N91" i="62"/>
  <c r="O91" i="62"/>
  <c r="P91" i="62"/>
  <c r="Q91" i="62"/>
  <c r="R91" i="62"/>
  <c r="J92" i="62"/>
  <c r="K92" i="62"/>
  <c r="L92" i="62"/>
  <c r="M92" i="62"/>
  <c r="N92" i="62"/>
  <c r="O92" i="62"/>
  <c r="P92" i="62"/>
  <c r="Q92" i="62"/>
  <c r="R92" i="62"/>
  <c r="J93" i="62"/>
  <c r="K93" i="62"/>
  <c r="L93" i="62"/>
  <c r="M93" i="62"/>
  <c r="N93" i="62"/>
  <c r="O93" i="62"/>
  <c r="P93" i="62"/>
  <c r="Q93" i="62"/>
  <c r="R93" i="62"/>
  <c r="J94" i="62"/>
  <c r="K94" i="62"/>
  <c r="L94" i="62"/>
  <c r="M94" i="62"/>
  <c r="N94" i="62"/>
  <c r="O94" i="62"/>
  <c r="P94" i="62"/>
  <c r="Q94" i="62"/>
  <c r="R94" i="62"/>
  <c r="J96" i="62"/>
  <c r="K96" i="62"/>
  <c r="L96" i="62"/>
  <c r="M96" i="62"/>
  <c r="N96" i="62"/>
  <c r="O96" i="62"/>
  <c r="P96" i="62"/>
  <c r="Q96" i="62"/>
  <c r="R96" i="62"/>
  <c r="J97" i="62"/>
  <c r="K97" i="62"/>
  <c r="L97" i="62"/>
  <c r="M97" i="62"/>
  <c r="N97" i="62"/>
  <c r="O97" i="62"/>
  <c r="P97" i="62"/>
  <c r="Q97" i="62"/>
  <c r="R97" i="62"/>
  <c r="J98" i="62"/>
  <c r="K98" i="62"/>
  <c r="L98" i="62"/>
  <c r="M98" i="62"/>
  <c r="N98" i="62"/>
  <c r="O98" i="62"/>
  <c r="P98" i="62"/>
  <c r="Q98" i="62"/>
  <c r="R98" i="62"/>
  <c r="J99" i="62"/>
  <c r="K99" i="62"/>
  <c r="L99" i="62"/>
  <c r="M99" i="62"/>
  <c r="N99" i="62"/>
  <c r="O99" i="62"/>
  <c r="P99" i="62"/>
  <c r="Q99" i="62"/>
  <c r="R99" i="62"/>
  <c r="F131" i="64"/>
  <c r="F132" i="64"/>
  <c r="F133" i="64"/>
  <c r="F134" i="64"/>
  <c r="F135" i="64"/>
  <c r="F136" i="64"/>
  <c r="F137" i="64"/>
  <c r="F138" i="64"/>
  <c r="F139" i="64"/>
  <c r="F115" i="64"/>
  <c r="F116" i="64"/>
  <c r="F117" i="64"/>
  <c r="F118" i="64"/>
  <c r="F119" i="64"/>
  <c r="F120" i="64"/>
  <c r="F121" i="64"/>
  <c r="F122" i="64"/>
  <c r="F123" i="64"/>
  <c r="F99" i="64"/>
  <c r="F100" i="64"/>
  <c r="F101" i="64"/>
  <c r="F102" i="64"/>
  <c r="F103" i="64"/>
  <c r="F104" i="64"/>
  <c r="F105" i="64"/>
  <c r="F106" i="64"/>
  <c r="F107" i="64"/>
  <c r="F77" i="64"/>
  <c r="F78" i="64"/>
  <c r="F79" i="64"/>
  <c r="F80" i="64"/>
  <c r="F81" i="64"/>
  <c r="F82" i="64"/>
  <c r="F83" i="64"/>
  <c r="F84" i="64"/>
  <c r="F85" i="64"/>
  <c r="F61" i="64"/>
  <c r="F62" i="64"/>
  <c r="F63" i="64"/>
  <c r="F64" i="64"/>
  <c r="F65" i="64"/>
  <c r="F66" i="64"/>
  <c r="F67" i="64"/>
  <c r="F68" i="64"/>
  <c r="F69" i="64"/>
  <c r="F34" i="64"/>
  <c r="F35" i="64"/>
  <c r="F36" i="64"/>
  <c r="F37" i="64"/>
  <c r="F38" i="64"/>
  <c r="F39" i="64"/>
  <c r="F40" i="64"/>
  <c r="F41" i="64"/>
  <c r="F42" i="64"/>
  <c r="F43" i="64"/>
  <c r="F44" i="64"/>
  <c r="F45" i="64"/>
  <c r="F46" i="64"/>
  <c r="F47" i="64"/>
  <c r="F48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F25" i="64"/>
  <c r="F26" i="64"/>
  <c r="F27" i="64"/>
  <c r="H66" i="61"/>
  <c r="I66" i="61"/>
  <c r="J66" i="61"/>
  <c r="K66" i="61"/>
  <c r="L66" i="61"/>
  <c r="M66" i="61"/>
  <c r="N66" i="61"/>
  <c r="O66" i="61"/>
  <c r="P66" i="61"/>
  <c r="H68" i="61"/>
  <c r="I68" i="61"/>
  <c r="J68" i="61"/>
  <c r="K68" i="61"/>
  <c r="L68" i="61"/>
  <c r="M68" i="61"/>
  <c r="N68" i="61"/>
  <c r="O68" i="61"/>
  <c r="P68" i="61"/>
  <c r="H69" i="61"/>
  <c r="I69" i="61"/>
  <c r="J69" i="61"/>
  <c r="K69" i="61"/>
  <c r="L69" i="61"/>
  <c r="M69" i="61"/>
  <c r="N69" i="61"/>
  <c r="O69" i="61"/>
  <c r="P69" i="61"/>
  <c r="H70" i="61"/>
  <c r="I70" i="61"/>
  <c r="J70" i="61"/>
  <c r="K70" i="61"/>
  <c r="L70" i="61"/>
  <c r="M70" i="61"/>
  <c r="N70" i="61"/>
  <c r="O70" i="61"/>
  <c r="P70" i="61"/>
  <c r="H71" i="61"/>
  <c r="I71" i="61"/>
  <c r="J71" i="61"/>
  <c r="K71" i="61"/>
  <c r="L71" i="61"/>
  <c r="M71" i="61"/>
  <c r="N71" i="61"/>
  <c r="O71" i="61"/>
  <c r="P71" i="61"/>
  <c r="H73" i="61"/>
  <c r="I73" i="61"/>
  <c r="J73" i="61"/>
  <c r="K73" i="61"/>
  <c r="L73" i="61"/>
  <c r="M73" i="61"/>
  <c r="O73" i="61"/>
  <c r="P73" i="61"/>
  <c r="H74" i="61"/>
  <c r="I74" i="61"/>
  <c r="J74" i="61"/>
  <c r="K74" i="61"/>
  <c r="L74" i="61"/>
  <c r="M74" i="61"/>
  <c r="N74" i="61"/>
  <c r="O74" i="61"/>
  <c r="P74" i="61"/>
  <c r="H75" i="61"/>
  <c r="I75" i="61"/>
  <c r="J75" i="61"/>
  <c r="K75" i="61"/>
  <c r="L75" i="61"/>
  <c r="M75" i="61"/>
  <c r="N75" i="61"/>
  <c r="O75" i="61"/>
  <c r="P75" i="61"/>
  <c r="H76" i="61"/>
  <c r="I76" i="61"/>
  <c r="J76" i="61"/>
  <c r="K76" i="61"/>
  <c r="L76" i="61"/>
  <c r="M76" i="61"/>
  <c r="N76" i="61"/>
  <c r="O76" i="61"/>
  <c r="P76" i="61"/>
  <c r="H78" i="61"/>
  <c r="I78" i="61"/>
  <c r="J78" i="61"/>
  <c r="K78" i="61"/>
  <c r="L78" i="61"/>
  <c r="M78" i="61"/>
  <c r="N78" i="61"/>
  <c r="O78" i="61"/>
  <c r="P78" i="61"/>
  <c r="H79" i="61"/>
  <c r="I79" i="61"/>
  <c r="J79" i="61"/>
  <c r="K79" i="61"/>
  <c r="L79" i="61"/>
  <c r="M79" i="61"/>
  <c r="N79" i="61"/>
  <c r="O79" i="61"/>
  <c r="P79" i="61"/>
  <c r="H80" i="61"/>
  <c r="I80" i="61"/>
  <c r="J80" i="61"/>
  <c r="K80" i="61"/>
  <c r="L80" i="61"/>
  <c r="M80" i="61"/>
  <c r="N80" i="61"/>
  <c r="O80" i="61"/>
  <c r="P80" i="61"/>
  <c r="H81" i="61"/>
  <c r="I81" i="61"/>
  <c r="J81" i="61"/>
  <c r="K81" i="61"/>
  <c r="L81" i="61"/>
  <c r="M81" i="61"/>
  <c r="N81" i="61"/>
  <c r="O81" i="61"/>
  <c r="P81" i="61"/>
  <c r="H83" i="61"/>
  <c r="I83" i="61"/>
  <c r="J83" i="61"/>
  <c r="K83" i="61"/>
  <c r="L83" i="61"/>
  <c r="M83" i="61"/>
  <c r="N83" i="61"/>
  <c r="O83" i="61"/>
  <c r="P83" i="61"/>
  <c r="H84" i="61"/>
  <c r="I84" i="61"/>
  <c r="J84" i="61"/>
  <c r="K84" i="61"/>
  <c r="L84" i="61"/>
  <c r="M84" i="61"/>
  <c r="N84" i="61"/>
  <c r="O84" i="61"/>
  <c r="P84" i="61"/>
  <c r="H85" i="61"/>
  <c r="I85" i="61"/>
  <c r="J85" i="61"/>
  <c r="K85" i="61"/>
  <c r="L85" i="61"/>
  <c r="M85" i="61"/>
  <c r="N85" i="61"/>
  <c r="O85" i="61"/>
  <c r="P85" i="61"/>
  <c r="H63" i="61"/>
  <c r="I63" i="61"/>
  <c r="J63" i="61"/>
  <c r="K63" i="61"/>
  <c r="L63" i="61"/>
  <c r="M63" i="61"/>
  <c r="N63" i="61"/>
  <c r="O63" i="61"/>
  <c r="P63" i="61"/>
  <c r="H64" i="61"/>
  <c r="I64" i="61"/>
  <c r="J64" i="61"/>
  <c r="K64" i="61"/>
  <c r="L64" i="61"/>
  <c r="M64" i="61"/>
  <c r="N64" i="61"/>
  <c r="O64" i="61"/>
  <c r="P64" i="61"/>
  <c r="H65" i="61"/>
  <c r="I65" i="61"/>
  <c r="J65" i="61"/>
  <c r="K65" i="61"/>
  <c r="L65" i="61"/>
  <c r="M65" i="61"/>
  <c r="N65" i="61"/>
  <c r="O65" i="61"/>
  <c r="P65" i="61"/>
  <c r="E57" i="61"/>
  <c r="F57" i="61"/>
  <c r="G57" i="61"/>
  <c r="H57" i="61"/>
  <c r="I57" i="61"/>
  <c r="J57" i="61"/>
  <c r="K57" i="61"/>
  <c r="L57" i="61"/>
  <c r="M57" i="61"/>
  <c r="N57" i="61"/>
  <c r="O57" i="61"/>
  <c r="P57" i="61"/>
  <c r="E58" i="61"/>
  <c r="F58" i="61"/>
  <c r="G58" i="61"/>
  <c r="H58" i="61"/>
  <c r="I58" i="61"/>
  <c r="J58" i="61"/>
  <c r="K58" i="61"/>
  <c r="L58" i="61"/>
  <c r="M58" i="61"/>
  <c r="N58" i="61"/>
  <c r="O58" i="61"/>
  <c r="P58" i="61"/>
  <c r="E59" i="61"/>
  <c r="F59" i="61"/>
  <c r="G59" i="61"/>
  <c r="H59" i="61"/>
  <c r="I59" i="61"/>
  <c r="J59" i="61"/>
  <c r="K59" i="61"/>
  <c r="L59" i="61"/>
  <c r="M59" i="61"/>
  <c r="N59" i="61"/>
  <c r="O59" i="61"/>
  <c r="P59" i="61"/>
  <c r="E52" i="61"/>
  <c r="F52" i="61"/>
  <c r="G52" i="61"/>
  <c r="H52" i="61"/>
  <c r="I52" i="61"/>
  <c r="J52" i="61"/>
  <c r="K52" i="61"/>
  <c r="L52" i="61"/>
  <c r="M52" i="61"/>
  <c r="N52" i="61"/>
  <c r="O52" i="61"/>
  <c r="P52" i="61"/>
  <c r="E53" i="61"/>
  <c r="F53" i="61"/>
  <c r="G53" i="61"/>
  <c r="H53" i="61"/>
  <c r="I53" i="61"/>
  <c r="J53" i="61"/>
  <c r="K53" i="61"/>
  <c r="L53" i="61"/>
  <c r="M53" i="61"/>
  <c r="N53" i="61"/>
  <c r="O53" i="61"/>
  <c r="P53" i="61"/>
  <c r="E54" i="61"/>
  <c r="F54" i="61"/>
  <c r="G54" i="61"/>
  <c r="H54" i="61"/>
  <c r="I54" i="61"/>
  <c r="J54" i="61"/>
  <c r="K54" i="61"/>
  <c r="L54" i="61"/>
  <c r="M54" i="61"/>
  <c r="N54" i="61"/>
  <c r="O54" i="61"/>
  <c r="P54" i="61"/>
  <c r="E55" i="61"/>
  <c r="F55" i="61"/>
  <c r="G55" i="61"/>
  <c r="H55" i="61"/>
  <c r="I55" i="61"/>
  <c r="J55" i="61"/>
  <c r="K55" i="61"/>
  <c r="L55" i="61"/>
  <c r="M55" i="61"/>
  <c r="N55" i="61"/>
  <c r="O55" i="61"/>
  <c r="P55" i="61"/>
  <c r="E47" i="61"/>
  <c r="F47" i="61"/>
  <c r="G47" i="61"/>
  <c r="H47" i="61"/>
  <c r="I47" i="61"/>
  <c r="J47" i="61"/>
  <c r="K47" i="61"/>
  <c r="L47" i="61"/>
  <c r="M47" i="61"/>
  <c r="N47" i="61"/>
  <c r="O47" i="61"/>
  <c r="P47" i="61"/>
  <c r="E48" i="61"/>
  <c r="F48" i="61"/>
  <c r="G48" i="61"/>
  <c r="H48" i="61"/>
  <c r="I48" i="61"/>
  <c r="J48" i="61"/>
  <c r="K48" i="61"/>
  <c r="L48" i="61"/>
  <c r="M48" i="61"/>
  <c r="N48" i="61"/>
  <c r="O48" i="61"/>
  <c r="P48" i="61"/>
  <c r="E49" i="61"/>
  <c r="F49" i="61"/>
  <c r="G49" i="61"/>
  <c r="H49" i="61"/>
  <c r="I49" i="61"/>
  <c r="J49" i="61"/>
  <c r="K49" i="61"/>
  <c r="L49" i="61"/>
  <c r="M49" i="61"/>
  <c r="N49" i="61"/>
  <c r="O49" i="61"/>
  <c r="P49" i="61"/>
  <c r="E50" i="61"/>
  <c r="F50" i="61"/>
  <c r="G50" i="61"/>
  <c r="H50" i="61"/>
  <c r="I50" i="61"/>
  <c r="J50" i="61"/>
  <c r="K50" i="61"/>
  <c r="L50" i="61"/>
  <c r="M50" i="61"/>
  <c r="N50" i="61"/>
  <c r="O50" i="61"/>
  <c r="P50" i="61"/>
  <c r="E42" i="61"/>
  <c r="F42" i="61"/>
  <c r="G42" i="61"/>
  <c r="H42" i="61"/>
  <c r="I42" i="61"/>
  <c r="J42" i="61"/>
  <c r="K42" i="61"/>
  <c r="L42" i="61"/>
  <c r="M42" i="61"/>
  <c r="N42" i="61"/>
  <c r="O42" i="61"/>
  <c r="P42" i="61"/>
  <c r="E43" i="61"/>
  <c r="F43" i="61"/>
  <c r="G43" i="61"/>
  <c r="H43" i="61"/>
  <c r="I43" i="61"/>
  <c r="J43" i="61"/>
  <c r="K43" i="61"/>
  <c r="L43" i="61"/>
  <c r="M43" i="61"/>
  <c r="N43" i="61"/>
  <c r="O43" i="61"/>
  <c r="P43" i="61"/>
  <c r="E44" i="61"/>
  <c r="F44" i="61"/>
  <c r="G44" i="61"/>
  <c r="H44" i="61"/>
  <c r="I44" i="61"/>
  <c r="J44" i="61"/>
  <c r="K44" i="61"/>
  <c r="L44" i="61"/>
  <c r="M44" i="61"/>
  <c r="N44" i="61"/>
  <c r="O44" i="61"/>
  <c r="P44" i="61"/>
  <c r="E45" i="61"/>
  <c r="F45" i="61"/>
  <c r="G45" i="61"/>
  <c r="H45" i="61"/>
  <c r="I45" i="61"/>
  <c r="J45" i="61"/>
  <c r="K45" i="61"/>
  <c r="L45" i="61"/>
  <c r="M45" i="61"/>
  <c r="N45" i="61"/>
  <c r="O45" i="61"/>
  <c r="P45" i="61"/>
  <c r="D37" i="61"/>
  <c r="E37" i="61"/>
  <c r="F37" i="61"/>
  <c r="G37" i="61"/>
  <c r="H37" i="61"/>
  <c r="I37" i="61"/>
  <c r="J37" i="61"/>
  <c r="K37" i="61"/>
  <c r="L37" i="61"/>
  <c r="M37" i="61"/>
  <c r="N37" i="61"/>
  <c r="O37" i="61"/>
  <c r="P37" i="61"/>
  <c r="D38" i="61"/>
  <c r="E38" i="61"/>
  <c r="F38" i="61"/>
  <c r="G38" i="61"/>
  <c r="H38" i="61"/>
  <c r="I38" i="61"/>
  <c r="J38" i="61"/>
  <c r="K38" i="61"/>
  <c r="L38" i="61"/>
  <c r="M38" i="61"/>
  <c r="N38" i="61"/>
  <c r="O38" i="61"/>
  <c r="P38" i="61"/>
  <c r="D39" i="61"/>
  <c r="E39" i="61"/>
  <c r="F39" i="61"/>
  <c r="G39" i="61"/>
  <c r="H39" i="61"/>
  <c r="I39" i="61"/>
  <c r="J39" i="61"/>
  <c r="K39" i="61"/>
  <c r="L39" i="61"/>
  <c r="M39" i="61"/>
  <c r="N39" i="61"/>
  <c r="O39" i="61"/>
  <c r="P39" i="61"/>
  <c r="D40" i="61"/>
  <c r="E40" i="61"/>
  <c r="F40" i="61"/>
  <c r="G40" i="61"/>
  <c r="H40" i="61"/>
  <c r="I40" i="61"/>
  <c r="J40" i="61"/>
  <c r="K40" i="61"/>
  <c r="L40" i="61"/>
  <c r="M40" i="61"/>
  <c r="N40" i="61"/>
  <c r="O40" i="61"/>
  <c r="P40" i="61"/>
  <c r="D32" i="61"/>
  <c r="E32" i="61"/>
  <c r="F32" i="61"/>
  <c r="G32" i="61"/>
  <c r="H32" i="61"/>
  <c r="I32" i="61"/>
  <c r="J32" i="61"/>
  <c r="K32" i="61"/>
  <c r="L32" i="61"/>
  <c r="M32" i="61"/>
  <c r="N32" i="61"/>
  <c r="O32" i="61"/>
  <c r="P32" i="61"/>
  <c r="D33" i="61"/>
  <c r="E33" i="61"/>
  <c r="F33" i="61"/>
  <c r="G33" i="61"/>
  <c r="H33" i="61"/>
  <c r="I33" i="61"/>
  <c r="J33" i="61"/>
  <c r="K33" i="61"/>
  <c r="L33" i="61"/>
  <c r="M33" i="61"/>
  <c r="N33" i="61"/>
  <c r="O33" i="61"/>
  <c r="P33" i="61"/>
  <c r="D34" i="61"/>
  <c r="E34" i="61"/>
  <c r="F34" i="61"/>
  <c r="G34" i="61"/>
  <c r="H34" i="61"/>
  <c r="I34" i="61"/>
  <c r="J34" i="61"/>
  <c r="K34" i="61"/>
  <c r="L34" i="61"/>
  <c r="M34" i="61"/>
  <c r="N34" i="61"/>
  <c r="O34" i="61"/>
  <c r="P34" i="61"/>
  <c r="D35" i="61"/>
  <c r="E35" i="61"/>
  <c r="F35" i="61"/>
  <c r="G35" i="61"/>
  <c r="H35" i="61"/>
  <c r="I35" i="61"/>
  <c r="J35" i="61"/>
  <c r="K35" i="61"/>
  <c r="L35" i="61"/>
  <c r="M35" i="61"/>
  <c r="N35" i="61"/>
  <c r="O35" i="61"/>
  <c r="P35" i="61"/>
  <c r="K67" i="61" l="1"/>
  <c r="O72" i="61"/>
  <c r="O82" i="61"/>
  <c r="L82" i="61"/>
  <c r="K82" i="61"/>
  <c r="J82" i="61"/>
  <c r="P72" i="61"/>
  <c r="I72" i="61"/>
  <c r="I77" i="61"/>
  <c r="H77" i="61"/>
  <c r="L72" i="61"/>
  <c r="J72" i="61"/>
  <c r="P67" i="61"/>
  <c r="O67" i="61"/>
  <c r="I67" i="61"/>
  <c r="N72" i="61"/>
  <c r="H67" i="61"/>
  <c r="P62" i="61"/>
  <c r="N62" i="61"/>
  <c r="H72" i="61"/>
  <c r="J67" i="61"/>
  <c r="L62" i="61"/>
  <c r="L67" i="61"/>
  <c r="K62" i="61"/>
  <c r="N67" i="61"/>
  <c r="M62" i="61"/>
  <c r="J62" i="61"/>
  <c r="I62" i="61"/>
  <c r="M67" i="61"/>
  <c r="H62" i="61"/>
  <c r="P82" i="61"/>
  <c r="N82" i="61"/>
  <c r="M82" i="61"/>
  <c r="O62" i="61"/>
  <c r="K72" i="61"/>
  <c r="I82" i="61"/>
  <c r="H82" i="61"/>
  <c r="P77" i="61"/>
  <c r="M72" i="61"/>
  <c r="O77" i="61"/>
  <c r="N77" i="61"/>
  <c r="M77" i="61"/>
  <c r="L77" i="61"/>
  <c r="K77" i="61"/>
  <c r="J77" i="61"/>
  <c r="M31" i="61"/>
  <c r="N31" i="61"/>
  <c r="H36" i="61"/>
  <c r="H31" i="61"/>
  <c r="N36" i="61"/>
  <c r="M36" i="61"/>
  <c r="K36" i="61"/>
  <c r="K31" i="61"/>
  <c r="L31" i="61"/>
  <c r="P36" i="61"/>
  <c r="J31" i="61"/>
  <c r="I31" i="61"/>
  <c r="O36" i="61"/>
  <c r="I36" i="61"/>
  <c r="L36" i="61"/>
  <c r="J36" i="61"/>
  <c r="O46" i="61"/>
  <c r="N46" i="61"/>
  <c r="M46" i="61"/>
  <c r="E46" i="61"/>
  <c r="J46" i="61"/>
  <c r="H46" i="61"/>
  <c r="L46" i="61"/>
  <c r="K46" i="61"/>
  <c r="I46" i="61"/>
  <c r="P51" i="61"/>
  <c r="P198" i="61"/>
  <c r="N51" i="61"/>
  <c r="N198" i="61"/>
  <c r="M51" i="61"/>
  <c r="M198" i="61"/>
  <c r="P56" i="61"/>
  <c r="L51" i="61"/>
  <c r="L198" i="61"/>
  <c r="O56" i="61"/>
  <c r="K51" i="61"/>
  <c r="K198" i="61"/>
  <c r="N56" i="61"/>
  <c r="J51" i="61"/>
  <c r="J198" i="61"/>
  <c r="M56" i="61"/>
  <c r="I51" i="61"/>
  <c r="I198" i="61"/>
  <c r="L56" i="61"/>
  <c r="P41" i="61"/>
  <c r="H51" i="61"/>
  <c r="H198" i="61"/>
  <c r="K56" i="61"/>
  <c r="O41" i="61"/>
  <c r="G51" i="61"/>
  <c r="J56" i="61"/>
  <c r="N41" i="61"/>
  <c r="F51" i="61"/>
  <c r="I56" i="61"/>
  <c r="M41" i="61"/>
  <c r="E51" i="61"/>
  <c r="H56" i="61"/>
  <c r="L41" i="61"/>
  <c r="G56" i="61"/>
  <c r="K41" i="61"/>
  <c r="F56" i="61"/>
  <c r="J41" i="61"/>
  <c r="E56" i="61"/>
  <c r="I41" i="61"/>
  <c r="F46" i="61"/>
  <c r="H41" i="61"/>
  <c r="G41" i="61"/>
  <c r="F41" i="61"/>
  <c r="E41" i="61"/>
  <c r="O51" i="61"/>
  <c r="O198" i="61"/>
  <c r="G46" i="61"/>
  <c r="P31" i="61"/>
  <c r="O31" i="61"/>
  <c r="P46" i="61"/>
  <c r="R95" i="62"/>
  <c r="Q95" i="62"/>
  <c r="J90" i="62"/>
  <c r="O95" i="62"/>
  <c r="P90" i="62"/>
  <c r="N90" i="62"/>
  <c r="Q90" i="62"/>
  <c r="O90" i="62"/>
  <c r="M90" i="62"/>
  <c r="L90" i="62"/>
  <c r="K90" i="62"/>
  <c r="L95" i="62"/>
  <c r="K95" i="62"/>
  <c r="M95" i="62"/>
  <c r="J95" i="62"/>
  <c r="R90" i="62"/>
  <c r="R85" i="62"/>
  <c r="P85" i="62"/>
  <c r="O85" i="62"/>
  <c r="N85" i="62"/>
  <c r="M85" i="62"/>
  <c r="K85" i="62"/>
  <c r="Q85" i="62"/>
  <c r="P95" i="62"/>
  <c r="L85" i="62"/>
  <c r="N95" i="62"/>
  <c r="J85" i="62"/>
  <c r="I61" i="61" l="1"/>
  <c r="I60" i="61" s="1"/>
  <c r="H61" i="61"/>
  <c r="H60" i="61" s="1"/>
  <c r="N61" i="61"/>
  <c r="N60" i="61" s="1"/>
  <c r="P61" i="61"/>
  <c r="P60" i="61" s="1"/>
  <c r="O61" i="61"/>
  <c r="O60" i="61" s="1"/>
  <c r="M61" i="61"/>
  <c r="M60" i="61" s="1"/>
  <c r="J61" i="61"/>
  <c r="J60" i="61" s="1"/>
  <c r="K61" i="61"/>
  <c r="K60" i="61" s="1"/>
  <c r="L61" i="61"/>
  <c r="L60" i="61" s="1"/>
  <c r="M30" i="61"/>
  <c r="M29" i="61" s="1"/>
  <c r="J30" i="61"/>
  <c r="J29" i="61" s="1"/>
  <c r="K30" i="61"/>
  <c r="K29" i="61" s="1"/>
  <c r="L30" i="61"/>
  <c r="L29" i="61" s="1"/>
  <c r="H30" i="61"/>
  <c r="H29" i="61" s="1"/>
  <c r="O30" i="61"/>
  <c r="O29" i="61" s="1"/>
  <c r="I30" i="61"/>
  <c r="I29" i="61" s="1"/>
  <c r="P30" i="61"/>
  <c r="P29" i="61" s="1"/>
  <c r="N30" i="61"/>
  <c r="N29" i="61" s="1"/>
  <c r="E28" i="61"/>
  <c r="F28" i="61"/>
  <c r="G28" i="61"/>
  <c r="H28" i="61"/>
  <c r="H203" i="61" s="1"/>
  <c r="I28" i="61"/>
  <c r="I203" i="61" s="1"/>
  <c r="J28" i="61"/>
  <c r="J203" i="61" s="1"/>
  <c r="K28" i="61"/>
  <c r="K203" i="61" s="1"/>
  <c r="L28" i="61"/>
  <c r="L203" i="61" s="1"/>
  <c r="M28" i="61"/>
  <c r="M203" i="61" s="1"/>
  <c r="N28" i="61"/>
  <c r="N203" i="61" s="1"/>
  <c r="O28" i="61"/>
  <c r="O203" i="61" s="1"/>
  <c r="P28" i="61"/>
  <c r="P203" i="61" s="1"/>
  <c r="D28" i="61"/>
  <c r="D27" i="61"/>
  <c r="E27" i="61"/>
  <c r="F27" i="61"/>
  <c r="G27" i="61"/>
  <c r="H27" i="61"/>
  <c r="H202" i="61" s="1"/>
  <c r="I27" i="61"/>
  <c r="I202" i="61" s="1"/>
  <c r="J27" i="61"/>
  <c r="J202" i="61" s="1"/>
  <c r="K27" i="61"/>
  <c r="K202" i="61" s="1"/>
  <c r="L27" i="61"/>
  <c r="L202" i="61" s="1"/>
  <c r="M27" i="61"/>
  <c r="M202" i="61" s="1"/>
  <c r="N27" i="61"/>
  <c r="N202" i="61" s="1"/>
  <c r="O27" i="61"/>
  <c r="O202" i="61" s="1"/>
  <c r="P27" i="61"/>
  <c r="P202" i="61" s="1"/>
  <c r="D26" i="61"/>
  <c r="E26" i="61"/>
  <c r="F26" i="61"/>
  <c r="G26" i="61"/>
  <c r="H26" i="61"/>
  <c r="H201" i="61" s="1"/>
  <c r="I26" i="61"/>
  <c r="I201" i="61" s="1"/>
  <c r="J26" i="61"/>
  <c r="J201" i="61" s="1"/>
  <c r="K26" i="61"/>
  <c r="K201" i="61" s="1"/>
  <c r="L26" i="61"/>
  <c r="L201" i="61" s="1"/>
  <c r="M26" i="61"/>
  <c r="M201" i="61" s="1"/>
  <c r="N26" i="61"/>
  <c r="N201" i="61" s="1"/>
  <c r="O26" i="61"/>
  <c r="O201" i="61" s="1"/>
  <c r="P26" i="61"/>
  <c r="P201" i="61" s="1"/>
  <c r="D21" i="61"/>
  <c r="E21" i="61"/>
  <c r="F21" i="61"/>
  <c r="G21" i="61"/>
  <c r="H21" i="61"/>
  <c r="I21" i="61"/>
  <c r="J21" i="61"/>
  <c r="K21" i="61"/>
  <c r="L21" i="61"/>
  <c r="M21" i="61"/>
  <c r="N21" i="61"/>
  <c r="O21" i="61"/>
  <c r="P21" i="61"/>
  <c r="D22" i="61"/>
  <c r="E22" i="61"/>
  <c r="F22" i="61"/>
  <c r="G22" i="61"/>
  <c r="H22" i="61"/>
  <c r="I22" i="61"/>
  <c r="J22" i="61"/>
  <c r="K22" i="61"/>
  <c r="L22" i="61"/>
  <c r="M22" i="61"/>
  <c r="N22" i="61"/>
  <c r="O22" i="61"/>
  <c r="P22" i="61"/>
  <c r="D23" i="61"/>
  <c r="E23" i="61"/>
  <c r="F23" i="61"/>
  <c r="G23" i="61"/>
  <c r="H23" i="61"/>
  <c r="I23" i="61"/>
  <c r="J23" i="61"/>
  <c r="K23" i="61"/>
  <c r="L23" i="61"/>
  <c r="M23" i="61"/>
  <c r="N23" i="61"/>
  <c r="O23" i="61"/>
  <c r="P23" i="61"/>
  <c r="D24" i="61"/>
  <c r="E24" i="61"/>
  <c r="F24" i="61"/>
  <c r="G24" i="61"/>
  <c r="H24" i="61"/>
  <c r="I24" i="61"/>
  <c r="J24" i="61"/>
  <c r="K24" i="61"/>
  <c r="L24" i="61"/>
  <c r="M24" i="61"/>
  <c r="N24" i="61"/>
  <c r="O24" i="61"/>
  <c r="P24" i="61"/>
  <c r="D16" i="61"/>
  <c r="E16" i="61"/>
  <c r="F16" i="61"/>
  <c r="G16" i="61"/>
  <c r="H16" i="61"/>
  <c r="I16" i="61"/>
  <c r="J16" i="61"/>
  <c r="K16" i="61"/>
  <c r="L16" i="61"/>
  <c r="M16" i="61"/>
  <c r="N16" i="61"/>
  <c r="O16" i="61"/>
  <c r="P16" i="61"/>
  <c r="D17" i="61"/>
  <c r="E17" i="61"/>
  <c r="F17" i="61"/>
  <c r="G17" i="61"/>
  <c r="H17" i="61"/>
  <c r="I17" i="61"/>
  <c r="J17" i="61"/>
  <c r="K17" i="61"/>
  <c r="L17" i="61"/>
  <c r="M17" i="61"/>
  <c r="N17" i="61"/>
  <c r="O17" i="61"/>
  <c r="P17" i="61"/>
  <c r="D18" i="61"/>
  <c r="E18" i="61"/>
  <c r="F18" i="61"/>
  <c r="G18" i="61"/>
  <c r="H18" i="61"/>
  <c r="I18" i="61"/>
  <c r="J18" i="61"/>
  <c r="K18" i="61"/>
  <c r="L18" i="61"/>
  <c r="M18" i="61"/>
  <c r="N18" i="61"/>
  <c r="O18" i="61"/>
  <c r="P18" i="61"/>
  <c r="D19" i="61"/>
  <c r="E19" i="61"/>
  <c r="F19" i="61"/>
  <c r="G19" i="61"/>
  <c r="H19" i="61"/>
  <c r="I19" i="61"/>
  <c r="J19" i="61"/>
  <c r="K19" i="61"/>
  <c r="L19" i="61"/>
  <c r="M19" i="61"/>
  <c r="N19" i="61"/>
  <c r="O19" i="61"/>
  <c r="P19" i="61"/>
  <c r="D13" i="61"/>
  <c r="E13" i="61"/>
  <c r="F13" i="61"/>
  <c r="G13" i="61"/>
  <c r="H13" i="61"/>
  <c r="I13" i="61"/>
  <c r="J13" i="61"/>
  <c r="K13" i="61"/>
  <c r="L13" i="61"/>
  <c r="M13" i="61"/>
  <c r="N13" i="61"/>
  <c r="O13" i="61"/>
  <c r="P13" i="61"/>
  <c r="D14" i="61"/>
  <c r="E14" i="61"/>
  <c r="F14" i="61"/>
  <c r="G14" i="61"/>
  <c r="H14" i="61"/>
  <c r="I14" i="61"/>
  <c r="J14" i="61"/>
  <c r="K14" i="61"/>
  <c r="L14" i="61"/>
  <c r="M14" i="61"/>
  <c r="N14" i="61"/>
  <c r="O14" i="61"/>
  <c r="P14" i="61"/>
  <c r="D12" i="61"/>
  <c r="E12" i="61"/>
  <c r="F12" i="61"/>
  <c r="G12" i="61"/>
  <c r="H12" i="61"/>
  <c r="I12" i="61"/>
  <c r="J12" i="61"/>
  <c r="K12" i="61"/>
  <c r="L12" i="61"/>
  <c r="M12" i="61"/>
  <c r="N12" i="61"/>
  <c r="O12" i="61"/>
  <c r="P12" i="61"/>
  <c r="D11" i="61"/>
  <c r="E11" i="61"/>
  <c r="F11" i="61"/>
  <c r="G11" i="61"/>
  <c r="H11" i="61"/>
  <c r="I11" i="61"/>
  <c r="J11" i="61"/>
  <c r="K11" i="61"/>
  <c r="L11" i="61"/>
  <c r="M11" i="61"/>
  <c r="N11" i="61"/>
  <c r="O11" i="61"/>
  <c r="P11" i="61"/>
  <c r="D9" i="61"/>
  <c r="E9" i="61"/>
  <c r="F9" i="61"/>
  <c r="G9" i="61"/>
  <c r="H9" i="61"/>
  <c r="I9" i="61"/>
  <c r="J9" i="61"/>
  <c r="K9" i="61"/>
  <c r="L9" i="61"/>
  <c r="M9" i="61"/>
  <c r="N9" i="61"/>
  <c r="O9" i="61"/>
  <c r="P9" i="61"/>
  <c r="D8" i="61"/>
  <c r="E8" i="61"/>
  <c r="F8" i="61"/>
  <c r="G8" i="61"/>
  <c r="H8" i="61"/>
  <c r="I8" i="61"/>
  <c r="J8" i="61"/>
  <c r="K8" i="61"/>
  <c r="L8" i="61"/>
  <c r="M8" i="61"/>
  <c r="N8" i="61"/>
  <c r="O8" i="61"/>
  <c r="P8" i="61"/>
  <c r="D7" i="61"/>
  <c r="E7" i="61"/>
  <c r="F7" i="61"/>
  <c r="G7" i="61"/>
  <c r="H7" i="61"/>
  <c r="I7" i="61"/>
  <c r="J7" i="61"/>
  <c r="K7" i="61"/>
  <c r="L7" i="61"/>
  <c r="M7" i="61"/>
  <c r="N7" i="61"/>
  <c r="O7" i="61"/>
  <c r="P7" i="61"/>
  <c r="D6" i="61"/>
  <c r="E6" i="61"/>
  <c r="F6" i="61"/>
  <c r="G6" i="61"/>
  <c r="H6" i="61"/>
  <c r="I6" i="61"/>
  <c r="J6" i="61"/>
  <c r="K6" i="61"/>
  <c r="L6" i="61"/>
  <c r="M6" i="61"/>
  <c r="N6" i="61"/>
  <c r="O6" i="61"/>
  <c r="P6" i="61"/>
  <c r="F26" i="62"/>
  <c r="G26" i="62"/>
  <c r="H26" i="62"/>
  <c r="I26" i="62"/>
  <c r="J26" i="62"/>
  <c r="J84" i="62" s="1"/>
  <c r="K26" i="62"/>
  <c r="K84" i="62" s="1"/>
  <c r="L26" i="62"/>
  <c r="L84" i="62" s="1"/>
  <c r="M26" i="62"/>
  <c r="M84" i="62" s="1"/>
  <c r="N26" i="62"/>
  <c r="N84" i="62" s="1"/>
  <c r="O26" i="62"/>
  <c r="O84" i="62" s="1"/>
  <c r="P26" i="62"/>
  <c r="P84" i="62" s="1"/>
  <c r="Q26" i="62"/>
  <c r="Q84" i="62" s="1"/>
  <c r="R26" i="62"/>
  <c r="R84" i="62" s="1"/>
  <c r="E26" i="62"/>
  <c r="F25" i="62"/>
  <c r="G25" i="62"/>
  <c r="H25" i="62"/>
  <c r="I25" i="62"/>
  <c r="J25" i="62"/>
  <c r="J83" i="62" s="1"/>
  <c r="K25" i="62"/>
  <c r="K83" i="62" s="1"/>
  <c r="L25" i="62"/>
  <c r="L83" i="62" s="1"/>
  <c r="M25" i="62"/>
  <c r="M83" i="62" s="1"/>
  <c r="N25" i="62"/>
  <c r="N83" i="62" s="1"/>
  <c r="O25" i="62"/>
  <c r="O83" i="62" s="1"/>
  <c r="P25" i="62"/>
  <c r="P83" i="62" s="1"/>
  <c r="Q25" i="62"/>
  <c r="Q83" i="62" s="1"/>
  <c r="R25" i="62"/>
  <c r="R83" i="62" s="1"/>
  <c r="E25" i="62"/>
  <c r="F24" i="62"/>
  <c r="G24" i="62"/>
  <c r="H24" i="62"/>
  <c r="I24" i="62"/>
  <c r="J24" i="62"/>
  <c r="J82" i="62" s="1"/>
  <c r="K24" i="62"/>
  <c r="K82" i="62" s="1"/>
  <c r="L24" i="62"/>
  <c r="L82" i="62" s="1"/>
  <c r="M24" i="62"/>
  <c r="M82" i="62" s="1"/>
  <c r="N24" i="62"/>
  <c r="N82" i="62" s="1"/>
  <c r="O24" i="62"/>
  <c r="O82" i="62" s="1"/>
  <c r="P24" i="62"/>
  <c r="P82" i="62" s="1"/>
  <c r="Q24" i="62"/>
  <c r="Q82" i="62" s="1"/>
  <c r="R24" i="62"/>
  <c r="R82" i="62" s="1"/>
  <c r="E24" i="62"/>
  <c r="F23" i="62"/>
  <c r="G23" i="62"/>
  <c r="H23" i="62"/>
  <c r="I23" i="62"/>
  <c r="J23" i="62"/>
  <c r="J81" i="62" s="1"/>
  <c r="K23" i="62"/>
  <c r="K81" i="62" s="1"/>
  <c r="L23" i="62"/>
  <c r="L81" i="62" s="1"/>
  <c r="M23" i="62"/>
  <c r="M81" i="62" s="1"/>
  <c r="N23" i="62"/>
  <c r="N81" i="62" s="1"/>
  <c r="O23" i="62"/>
  <c r="O81" i="62" s="1"/>
  <c r="P23" i="62"/>
  <c r="P81" i="62" s="1"/>
  <c r="Q23" i="62"/>
  <c r="Q81" i="62" s="1"/>
  <c r="R23" i="62"/>
  <c r="R81" i="62" s="1"/>
  <c r="E23" i="62"/>
  <c r="F17" i="62"/>
  <c r="G17" i="62"/>
  <c r="H17" i="62"/>
  <c r="I17" i="62"/>
  <c r="J17" i="62"/>
  <c r="J79" i="62" s="1"/>
  <c r="K17" i="62"/>
  <c r="K79" i="62" s="1"/>
  <c r="L17" i="62"/>
  <c r="L79" i="62" s="1"/>
  <c r="M17" i="62"/>
  <c r="M79" i="62" s="1"/>
  <c r="N17" i="62"/>
  <c r="N79" i="62" s="1"/>
  <c r="O17" i="62"/>
  <c r="O79" i="62" s="1"/>
  <c r="P17" i="62"/>
  <c r="P79" i="62" s="1"/>
  <c r="Q17" i="62"/>
  <c r="Q79" i="62" s="1"/>
  <c r="R17" i="62"/>
  <c r="R79" i="62" s="1"/>
  <c r="E17" i="62"/>
  <c r="F16" i="62"/>
  <c r="G16" i="62"/>
  <c r="H16" i="62"/>
  <c r="I16" i="62"/>
  <c r="J16" i="62"/>
  <c r="J78" i="62" s="1"/>
  <c r="K16" i="62"/>
  <c r="L16" i="62"/>
  <c r="L78" i="62" s="1"/>
  <c r="M16" i="62"/>
  <c r="M78" i="62" s="1"/>
  <c r="N16" i="62"/>
  <c r="N78" i="62" s="1"/>
  <c r="O16" i="62"/>
  <c r="O78" i="62" s="1"/>
  <c r="P16" i="62"/>
  <c r="P78" i="62" s="1"/>
  <c r="Q16" i="62"/>
  <c r="Q78" i="62" s="1"/>
  <c r="R16" i="62"/>
  <c r="R78" i="62" s="1"/>
  <c r="E16" i="62"/>
  <c r="F15" i="62"/>
  <c r="G15" i="62"/>
  <c r="H15" i="62"/>
  <c r="I15" i="62"/>
  <c r="J15" i="62"/>
  <c r="J77" i="62" s="1"/>
  <c r="K15" i="62"/>
  <c r="K77" i="62" s="1"/>
  <c r="L15" i="62"/>
  <c r="L77" i="62" s="1"/>
  <c r="M15" i="62"/>
  <c r="M77" i="62" s="1"/>
  <c r="N15" i="62"/>
  <c r="N77" i="62" s="1"/>
  <c r="O15" i="62"/>
  <c r="O77" i="62" s="1"/>
  <c r="P15" i="62"/>
  <c r="P77" i="62" s="1"/>
  <c r="Q15" i="62"/>
  <c r="Q77" i="62" s="1"/>
  <c r="R15" i="62"/>
  <c r="R77" i="62" s="1"/>
  <c r="E15" i="62"/>
  <c r="F14" i="62"/>
  <c r="G14" i="62"/>
  <c r="H14" i="62"/>
  <c r="I14" i="62"/>
  <c r="J14" i="62"/>
  <c r="K14" i="62"/>
  <c r="K76" i="62" s="1"/>
  <c r="L14" i="62"/>
  <c r="L76" i="62" s="1"/>
  <c r="M14" i="62"/>
  <c r="M76" i="62" s="1"/>
  <c r="N14" i="62"/>
  <c r="N76" i="62" s="1"/>
  <c r="O14" i="62"/>
  <c r="O76" i="62" s="1"/>
  <c r="P14" i="62"/>
  <c r="P76" i="62" s="1"/>
  <c r="Q14" i="62"/>
  <c r="Q76" i="62" s="1"/>
  <c r="R14" i="62"/>
  <c r="R76" i="62" s="1"/>
  <c r="E14" i="62"/>
  <c r="E9" i="62"/>
  <c r="F8" i="62"/>
  <c r="G8" i="62"/>
  <c r="H8" i="62"/>
  <c r="I8" i="62"/>
  <c r="J8" i="62"/>
  <c r="K8" i="62"/>
  <c r="K74" i="62" s="1"/>
  <c r="L8" i="62"/>
  <c r="M8" i="62"/>
  <c r="N8" i="62"/>
  <c r="O8" i="62"/>
  <c r="P8" i="62"/>
  <c r="Q8" i="62"/>
  <c r="R8" i="62"/>
  <c r="E8" i="62"/>
  <c r="F7" i="62"/>
  <c r="G7" i="62"/>
  <c r="H7" i="62"/>
  <c r="I7" i="62"/>
  <c r="J7" i="62"/>
  <c r="K7" i="62"/>
  <c r="L7" i="62"/>
  <c r="M7" i="62"/>
  <c r="N7" i="62"/>
  <c r="O7" i="62"/>
  <c r="P7" i="62"/>
  <c r="Q7" i="62"/>
  <c r="R7" i="62"/>
  <c r="E7" i="62"/>
  <c r="F6" i="62"/>
  <c r="G6" i="62"/>
  <c r="H6" i="62"/>
  <c r="I6" i="62"/>
  <c r="J6" i="62"/>
  <c r="K6" i="62"/>
  <c r="L6" i="62"/>
  <c r="M6" i="62"/>
  <c r="N6" i="62"/>
  <c r="O6" i="62"/>
  <c r="P6" i="62"/>
  <c r="Q6" i="62"/>
  <c r="R6" i="62"/>
  <c r="E6" i="62"/>
  <c r="F5" i="62"/>
  <c r="G5" i="62"/>
  <c r="H5" i="62"/>
  <c r="I5" i="62"/>
  <c r="J5" i="62"/>
  <c r="K5" i="62"/>
  <c r="L5" i="62"/>
  <c r="M5" i="62"/>
  <c r="N5" i="62"/>
  <c r="O5" i="62"/>
  <c r="P5" i="62"/>
  <c r="Q5" i="62"/>
  <c r="R5" i="62"/>
  <c r="E5" i="62"/>
  <c r="S24" i="62" l="1"/>
  <c r="S25" i="62"/>
  <c r="S26" i="62"/>
  <c r="S16" i="62"/>
  <c r="S17" i="62"/>
  <c r="S23" i="62"/>
  <c r="S14" i="62"/>
  <c r="S15" i="62"/>
  <c r="Q80" i="62"/>
  <c r="P80" i="62"/>
  <c r="N80" i="62"/>
  <c r="M80" i="62"/>
  <c r="L80" i="62"/>
  <c r="R80" i="62"/>
  <c r="J80" i="62"/>
  <c r="O80" i="62"/>
  <c r="K80" i="62"/>
  <c r="K104" i="62"/>
  <c r="P200" i="61"/>
  <c r="O200" i="61"/>
  <c r="R13" i="62"/>
  <c r="R12" i="62" s="1"/>
  <c r="Q13" i="62"/>
  <c r="Q12" i="62" s="1"/>
  <c r="P13" i="62"/>
  <c r="P12" i="62" s="1"/>
  <c r="K13" i="62"/>
  <c r="K12" i="62" s="1"/>
  <c r="K78" i="62"/>
  <c r="K75" i="62" s="1"/>
  <c r="R75" i="62"/>
  <c r="Q75" i="62"/>
  <c r="P75" i="62"/>
  <c r="O75" i="62"/>
  <c r="N75" i="62"/>
  <c r="O13" i="62"/>
  <c r="O12" i="62" s="1"/>
  <c r="N13" i="62"/>
  <c r="N12" i="62" s="1"/>
  <c r="M13" i="62"/>
  <c r="M12" i="62" s="1"/>
  <c r="L13" i="62"/>
  <c r="L12" i="62" s="1"/>
  <c r="M75" i="62"/>
  <c r="L75" i="62"/>
  <c r="J13" i="62"/>
  <c r="J12" i="62" s="1"/>
  <c r="J76" i="62"/>
  <c r="J75" i="62" s="1"/>
  <c r="N200" i="61"/>
  <c r="L74" i="62"/>
  <c r="L104" i="62" s="1"/>
  <c r="N197" i="61"/>
  <c r="M200" i="61"/>
  <c r="H194" i="61"/>
  <c r="P197" i="61"/>
  <c r="M197" i="61"/>
  <c r="L200" i="61"/>
  <c r="L197" i="61"/>
  <c r="K200" i="61"/>
  <c r="K197" i="61"/>
  <c r="J200" i="61"/>
  <c r="J197" i="61"/>
  <c r="I200" i="61"/>
  <c r="I197" i="61"/>
  <c r="H197" i="61"/>
  <c r="O197" i="61"/>
  <c r="P195" i="61"/>
  <c r="O195" i="61"/>
  <c r="N195" i="61"/>
  <c r="M195" i="61"/>
  <c r="L195" i="61"/>
  <c r="K195" i="61"/>
  <c r="J195" i="61"/>
  <c r="I195" i="61"/>
  <c r="H195" i="61"/>
  <c r="H200" i="61"/>
  <c r="P196" i="61"/>
  <c r="O196" i="61"/>
  <c r="N196" i="61"/>
  <c r="M196" i="61"/>
  <c r="P194" i="61"/>
  <c r="L196" i="61"/>
  <c r="O194" i="61"/>
  <c r="K196" i="61"/>
  <c r="N194" i="61"/>
  <c r="J196" i="61"/>
  <c r="M194" i="61"/>
  <c r="I196" i="61"/>
  <c r="L194" i="61"/>
  <c r="H196" i="61"/>
  <c r="K194" i="61"/>
  <c r="J194" i="61"/>
  <c r="I194" i="61"/>
  <c r="P20" i="61"/>
  <c r="O72" i="62"/>
  <c r="O102" i="62" s="1"/>
  <c r="O71" i="62"/>
  <c r="O101" i="62" s="1"/>
  <c r="Q72" i="62"/>
  <c r="Q102" i="62" s="1"/>
  <c r="N72" i="62"/>
  <c r="N102" i="62" s="1"/>
  <c r="N71" i="62"/>
  <c r="N101" i="62" s="1"/>
  <c r="R74" i="62"/>
  <c r="R104" i="62" s="1"/>
  <c r="J74" i="62"/>
  <c r="J104" i="62" s="1"/>
  <c r="R73" i="62"/>
  <c r="R103" i="62" s="1"/>
  <c r="N15" i="61"/>
  <c r="L71" i="62"/>
  <c r="L101" i="62" s="1"/>
  <c r="M15" i="61"/>
  <c r="K20" i="61"/>
  <c r="N5" i="61"/>
  <c r="L15" i="61"/>
  <c r="H20" i="61"/>
  <c r="Q74" i="62"/>
  <c r="Q104" i="62" s="1"/>
  <c r="O74" i="62"/>
  <c r="O104" i="62" s="1"/>
  <c r="O20" i="61"/>
  <c r="N25" i="61"/>
  <c r="R72" i="62"/>
  <c r="R102" i="62" s="1"/>
  <c r="P25" i="61"/>
  <c r="K5" i="61"/>
  <c r="I15" i="61"/>
  <c r="M25" i="61"/>
  <c r="J5" i="61"/>
  <c r="H15" i="61"/>
  <c r="L25" i="61"/>
  <c r="I5" i="61"/>
  <c r="G15" i="61"/>
  <c r="I25" i="61"/>
  <c r="N20" i="61"/>
  <c r="M20" i="61"/>
  <c r="L20" i="61"/>
  <c r="J20" i="61"/>
  <c r="K15" i="61"/>
  <c r="I20" i="61"/>
  <c r="J15" i="61"/>
  <c r="Q73" i="62"/>
  <c r="Q103" i="62" s="1"/>
  <c r="O5" i="61"/>
  <c r="M5" i="61"/>
  <c r="D15" i="61"/>
  <c r="L5" i="61"/>
  <c r="Q71" i="62"/>
  <c r="Q101" i="62" s="1"/>
  <c r="P71" i="62"/>
  <c r="P101" i="62" s="1"/>
  <c r="H5" i="61"/>
  <c r="P15" i="61"/>
  <c r="M71" i="62"/>
  <c r="M101" i="62" s="1"/>
  <c r="O15" i="61"/>
  <c r="F15" i="61"/>
  <c r="K71" i="62"/>
  <c r="I71" i="62"/>
  <c r="P74" i="62"/>
  <c r="P104" i="62" s="1"/>
  <c r="O25" i="61"/>
  <c r="J25" i="61"/>
  <c r="H25" i="61"/>
  <c r="M74" i="62"/>
  <c r="M104" i="62" s="1"/>
  <c r="P72" i="62"/>
  <c r="P102" i="62" s="1"/>
  <c r="M72" i="62"/>
  <c r="M102" i="62" s="1"/>
  <c r="L72" i="62"/>
  <c r="L102" i="62" s="1"/>
  <c r="J71" i="62"/>
  <c r="P73" i="62"/>
  <c r="P103" i="62" s="1"/>
  <c r="O73" i="62"/>
  <c r="O103" i="62" s="1"/>
  <c r="N73" i="62"/>
  <c r="N103" i="62" s="1"/>
  <c r="M73" i="62"/>
  <c r="M103" i="62" s="1"/>
  <c r="J72" i="62"/>
  <c r="J102" i="62" s="1"/>
  <c r="L73" i="62"/>
  <c r="L103" i="62" s="1"/>
  <c r="K72" i="62"/>
  <c r="K102" i="62" s="1"/>
  <c r="K73" i="62"/>
  <c r="J73" i="62"/>
  <c r="J103" i="62" s="1"/>
  <c r="N74" i="62"/>
  <c r="N104" i="62" s="1"/>
  <c r="R71" i="62"/>
  <c r="Q22" i="62"/>
  <c r="Q21" i="62" s="1"/>
  <c r="M22" i="62"/>
  <c r="M21" i="62" s="1"/>
  <c r="K22" i="62"/>
  <c r="K21" i="62" s="1"/>
  <c r="P22" i="62"/>
  <c r="P21" i="62" s="1"/>
  <c r="O4" i="62"/>
  <c r="O3" i="62" s="1"/>
  <c r="N22" i="62"/>
  <c r="N21" i="62" s="1"/>
  <c r="O22" i="62"/>
  <c r="O21" i="62" s="1"/>
  <c r="Q22" i="61"/>
  <c r="Q21" i="61"/>
  <c r="Q16" i="61"/>
  <c r="Q14" i="61"/>
  <c r="Q6" i="61"/>
  <c r="Q19" i="61"/>
  <c r="Q7" i="61"/>
  <c r="Q26" i="61"/>
  <c r="Q27" i="61"/>
  <c r="Q24" i="61"/>
  <c r="Q23" i="61"/>
  <c r="Q18" i="61"/>
  <c r="Q11" i="61"/>
  <c r="Q12" i="61"/>
  <c r="E15" i="61"/>
  <c r="Q13" i="61"/>
  <c r="Q8" i="61"/>
  <c r="Q17" i="61"/>
  <c r="G25" i="61"/>
  <c r="F25" i="61"/>
  <c r="Q9" i="61"/>
  <c r="Q28" i="61"/>
  <c r="K25" i="61"/>
  <c r="L10" i="61"/>
  <c r="P10" i="61"/>
  <c r="K10" i="61"/>
  <c r="O10" i="61"/>
  <c r="M10" i="61"/>
  <c r="J10" i="61"/>
  <c r="N10" i="61"/>
  <c r="I10" i="61"/>
  <c r="H10" i="61"/>
  <c r="P5" i="61"/>
  <c r="R22" i="62"/>
  <c r="R21" i="62" s="1"/>
  <c r="J22" i="62"/>
  <c r="J21" i="62" s="1"/>
  <c r="L22" i="62"/>
  <c r="L21" i="62" s="1"/>
  <c r="F22" i="62"/>
  <c r="S8" i="62"/>
  <c r="S6" i="62"/>
  <c r="S7" i="62"/>
  <c r="S5" i="62"/>
  <c r="P4" i="62"/>
  <c r="P3" i="62" s="1"/>
  <c r="K4" i="62"/>
  <c r="K3" i="62" s="1"/>
  <c r="J4" i="62"/>
  <c r="J3" i="62" s="1"/>
  <c r="N4" i="62"/>
  <c r="N3" i="62" s="1"/>
  <c r="L4" i="62"/>
  <c r="L3" i="62" s="1"/>
  <c r="Q4" i="62"/>
  <c r="Q3" i="62" s="1"/>
  <c r="R4" i="62"/>
  <c r="R3" i="62" s="1"/>
  <c r="M4" i="62"/>
  <c r="M3" i="62" s="1"/>
  <c r="F21" i="62" l="1"/>
  <c r="K103" i="62"/>
  <c r="P193" i="61"/>
  <c r="H193" i="61"/>
  <c r="N193" i="61"/>
  <c r="M193" i="61"/>
  <c r="O193" i="61"/>
  <c r="J193" i="61"/>
  <c r="K193" i="61"/>
  <c r="L193" i="61"/>
  <c r="I193" i="61"/>
  <c r="L4" i="61"/>
  <c r="L3" i="61" s="1"/>
  <c r="M4" i="61"/>
  <c r="M3" i="61" s="1"/>
  <c r="K4" i="61"/>
  <c r="K3" i="61" s="1"/>
  <c r="N4" i="61"/>
  <c r="N3" i="61" s="1"/>
  <c r="I4" i="61"/>
  <c r="I3" i="61" s="1"/>
  <c r="H4" i="61"/>
  <c r="H3" i="61" s="1"/>
  <c r="J4" i="61"/>
  <c r="J3" i="61" s="1"/>
  <c r="Q100" i="62"/>
  <c r="O4" i="61"/>
  <c r="O3" i="61" s="1"/>
  <c r="N100" i="62"/>
  <c r="Q70" i="62"/>
  <c r="O100" i="62"/>
  <c r="J101" i="62"/>
  <c r="J100" i="62" s="1"/>
  <c r="J70" i="62"/>
  <c r="P70" i="62"/>
  <c r="M70" i="62"/>
  <c r="L70" i="62"/>
  <c r="P100" i="62"/>
  <c r="M100" i="62"/>
  <c r="P4" i="61"/>
  <c r="P3" i="61" s="1"/>
  <c r="L100" i="62"/>
  <c r="N70" i="62"/>
  <c r="K101" i="62"/>
  <c r="K70" i="62"/>
  <c r="R70" i="62"/>
  <c r="R101" i="62"/>
  <c r="R100" i="62" s="1"/>
  <c r="O70" i="62"/>
  <c r="Q25" i="61"/>
  <c r="Q10" i="61"/>
  <c r="Q5" i="61"/>
  <c r="K100" i="62" l="1"/>
  <c r="N7" i="69"/>
  <c r="N49" i="69" s="1"/>
  <c r="P7" i="69"/>
  <c r="Q7" i="69"/>
  <c r="Q49" i="69" s="1"/>
  <c r="R7" i="69"/>
  <c r="S7" i="69"/>
  <c r="S49" i="69" s="1"/>
  <c r="T7" i="69"/>
  <c r="U7" i="69"/>
  <c r="U49" i="69" s="1"/>
  <c r="V7" i="69"/>
  <c r="W7" i="69"/>
  <c r="W49" i="69" s="1"/>
  <c r="X7" i="69"/>
  <c r="Y7" i="69"/>
  <c r="Z7" i="69"/>
  <c r="AA7" i="69"/>
  <c r="AB7" i="69"/>
  <c r="AC7" i="69"/>
  <c r="AD7" i="69"/>
  <c r="AE7" i="69"/>
  <c r="AF7" i="69"/>
  <c r="O7" i="69"/>
  <c r="R49" i="69"/>
  <c r="T49" i="69"/>
  <c r="V49" i="69"/>
  <c r="X49" i="69"/>
  <c r="AG9" i="69"/>
  <c r="AG10" i="69"/>
  <c r="AG11" i="69"/>
  <c r="AG12" i="69"/>
  <c r="AG13" i="69"/>
  <c r="AG14" i="69"/>
  <c r="AG15" i="69"/>
  <c r="AG16" i="69"/>
  <c r="AG17" i="69"/>
  <c r="AG18" i="69"/>
  <c r="AG19" i="69"/>
  <c r="AG20" i="69"/>
  <c r="AG21" i="69"/>
  <c r="AG22" i="69"/>
  <c r="AG23" i="69"/>
  <c r="AG24" i="69"/>
  <c r="AG25" i="69"/>
  <c r="AG26" i="69"/>
  <c r="AG27" i="69"/>
  <c r="AG28" i="69"/>
  <c r="AG29" i="69"/>
  <c r="AG30" i="69"/>
  <c r="AG47" i="69"/>
  <c r="AG48" i="69"/>
  <c r="AG8" i="69"/>
  <c r="M9" i="69"/>
  <c r="M10" i="69"/>
  <c r="M11" i="69"/>
  <c r="M12" i="69"/>
  <c r="M13" i="69"/>
  <c r="M14" i="69"/>
  <c r="M15" i="69"/>
  <c r="M16" i="69"/>
  <c r="M17" i="69"/>
  <c r="M18" i="69"/>
  <c r="M19" i="69"/>
  <c r="M20" i="69"/>
  <c r="M21" i="69"/>
  <c r="M47" i="69"/>
  <c r="M48" i="69"/>
  <c r="M8" i="69"/>
  <c r="AG7" i="69" l="1"/>
  <c r="M7" i="69"/>
  <c r="Y49" i="69"/>
  <c r="O49" i="69"/>
  <c r="AF49" i="69"/>
  <c r="AB49" i="69"/>
  <c r="Z49" i="69"/>
  <c r="AA49" i="69"/>
  <c r="AD49" i="69"/>
  <c r="AC49" i="69"/>
  <c r="AE49" i="69"/>
  <c r="Y12" i="55" l="1"/>
  <c r="K12" i="55" s="1"/>
  <c r="Y13" i="55"/>
  <c r="K13" i="55" s="1"/>
  <c r="Y14" i="55"/>
  <c r="K14" i="55" s="1"/>
  <c r="Y15" i="55"/>
  <c r="K15" i="55" s="1"/>
  <c r="Y16" i="55"/>
  <c r="K16" i="55" s="1"/>
  <c r="Y17" i="55"/>
  <c r="K17" i="55" s="1"/>
  <c r="Y18" i="55"/>
  <c r="K18" i="55" s="1"/>
  <c r="Y19" i="55"/>
  <c r="K19" i="55" s="1"/>
  <c r="Y20" i="55"/>
  <c r="K20" i="55" s="1"/>
  <c r="Y21" i="55"/>
  <c r="K21" i="55" s="1"/>
  <c r="Y22" i="55"/>
  <c r="K22" i="55" s="1"/>
  <c r="Y23" i="55"/>
  <c r="K23" i="55" s="1"/>
  <c r="Y24" i="55"/>
  <c r="K24" i="55" s="1"/>
  <c r="Y25" i="55"/>
  <c r="K25" i="55" s="1"/>
  <c r="Y26" i="55"/>
  <c r="K26" i="55" s="1"/>
  <c r="Y27" i="55"/>
  <c r="K27" i="55" s="1"/>
  <c r="Y28" i="55"/>
  <c r="K28" i="55" s="1"/>
  <c r="Y29" i="55"/>
  <c r="K29" i="55" s="1"/>
  <c r="Y30" i="55"/>
  <c r="K30" i="55" s="1"/>
  <c r="Y31" i="55"/>
  <c r="K31" i="55" s="1"/>
  <c r="Y32" i="55"/>
  <c r="K32" i="55" s="1"/>
  <c r="Y33" i="55"/>
  <c r="K33" i="55" s="1"/>
  <c r="Y34" i="55"/>
  <c r="K34" i="55" s="1"/>
  <c r="Y11" i="55"/>
  <c r="K11" i="55" s="1"/>
  <c r="P10" i="55"/>
  <c r="Q10" i="55"/>
  <c r="R10" i="55"/>
  <c r="S10" i="55"/>
  <c r="T10" i="55"/>
  <c r="U10" i="55"/>
  <c r="U35" i="55" s="1"/>
  <c r="V10" i="55"/>
  <c r="V35" i="55" s="1"/>
  <c r="W10" i="55"/>
  <c r="W35" i="55" s="1"/>
  <c r="X10" i="55"/>
  <c r="O10" i="55"/>
  <c r="X35" i="55"/>
  <c r="K10" i="55" l="1"/>
  <c r="S35" i="55"/>
  <c r="T35" i="55"/>
  <c r="P35" i="55"/>
  <c r="R35" i="55"/>
  <c r="Q35" i="55"/>
  <c r="P3" i="54"/>
  <c r="Q3" i="54"/>
  <c r="R3" i="54"/>
  <c r="S3" i="54"/>
  <c r="T3" i="54"/>
  <c r="U3" i="54"/>
  <c r="V3" i="54"/>
  <c r="W3" i="54"/>
  <c r="X3" i="54"/>
  <c r="P5" i="54"/>
  <c r="Q5" i="54"/>
  <c r="R5" i="54"/>
  <c r="S5" i="54"/>
  <c r="T5" i="54"/>
  <c r="V5" i="54"/>
  <c r="W5" i="54"/>
  <c r="X5" i="54"/>
  <c r="L5" i="54"/>
  <c r="Y6" i="54"/>
  <c r="K6" i="54" s="1"/>
  <c r="K5" i="54" s="1"/>
  <c r="Y4" i="54"/>
  <c r="K4" i="54" s="1"/>
  <c r="K3" i="54" s="1"/>
  <c r="K31" i="54" l="1"/>
  <c r="Y5" i="54"/>
  <c r="S31" i="54"/>
  <c r="V31" i="54"/>
  <c r="R31" i="54"/>
  <c r="Q31" i="54"/>
  <c r="W31" i="54"/>
  <c r="U31" i="54"/>
  <c r="P31" i="54"/>
  <c r="X31" i="54"/>
  <c r="T31" i="54"/>
  <c r="E18" i="62"/>
  <c r="E27" i="62"/>
  <c r="E36" i="62"/>
  <c r="E53" i="62"/>
  <c r="G169" i="61"/>
  <c r="F169" i="61"/>
  <c r="E169" i="61"/>
  <c r="D169" i="61"/>
  <c r="G168" i="61"/>
  <c r="F168" i="61"/>
  <c r="E168" i="61"/>
  <c r="D168" i="61"/>
  <c r="G167" i="61"/>
  <c r="F167" i="61"/>
  <c r="E167" i="61"/>
  <c r="D167" i="61"/>
  <c r="G166" i="61"/>
  <c r="F166" i="61"/>
  <c r="E166" i="61"/>
  <c r="D166" i="61"/>
  <c r="F174" i="61"/>
  <c r="D172" i="61"/>
  <c r="E172" i="61"/>
  <c r="F172" i="61"/>
  <c r="G172" i="61"/>
  <c r="D173" i="61"/>
  <c r="E173" i="61"/>
  <c r="F173" i="61"/>
  <c r="G173" i="61"/>
  <c r="D174" i="61"/>
  <c r="E174" i="61"/>
  <c r="G174" i="61"/>
  <c r="D171" i="61"/>
  <c r="E171" i="61"/>
  <c r="F171" i="61"/>
  <c r="G171" i="61"/>
  <c r="C144" i="64"/>
  <c r="D148" i="64" s="1"/>
  <c r="E32" i="62"/>
  <c r="E33" i="62"/>
  <c r="E34" i="62"/>
  <c r="E35" i="62"/>
  <c r="F130" i="64"/>
  <c r="F129" i="64"/>
  <c r="F128" i="64"/>
  <c r="F127" i="64"/>
  <c r="F126" i="64"/>
  <c r="F114" i="64"/>
  <c r="F113" i="64"/>
  <c r="F112" i="64"/>
  <c r="F111" i="64"/>
  <c r="F110" i="64"/>
  <c r="F98" i="64"/>
  <c r="F97" i="64"/>
  <c r="F96" i="64"/>
  <c r="F95" i="64"/>
  <c r="F94" i="64"/>
  <c r="Q168" i="61" l="1"/>
  <c r="Q166" i="61"/>
  <c r="Q169" i="61"/>
  <c r="Q171" i="61"/>
  <c r="Q174" i="61"/>
  <c r="Q173" i="61"/>
  <c r="Q172" i="61"/>
  <c r="Q167" i="61"/>
  <c r="D151" i="64"/>
  <c r="D147" i="64"/>
  <c r="D149" i="64"/>
  <c r="D150" i="64"/>
  <c r="D165" i="61"/>
  <c r="E165" i="61"/>
  <c r="F165" i="61"/>
  <c r="G165" i="61"/>
  <c r="Q165" i="61" l="1"/>
  <c r="Z55" i="71" l="1"/>
  <c r="L55" i="71"/>
  <c r="M36" i="71" l="1"/>
  <c r="N36" i="71"/>
  <c r="O36" i="71"/>
  <c r="P36" i="71"/>
  <c r="Q36" i="71"/>
  <c r="M3" i="71"/>
  <c r="L3" i="71" l="1"/>
  <c r="Z3" i="71"/>
  <c r="G19" i="28" l="1"/>
  <c r="H19" i="28"/>
  <c r="E19" i="28"/>
  <c r="L39" i="71" l="1"/>
  <c r="L40" i="71"/>
  <c r="L41" i="71"/>
  <c r="L42" i="71"/>
  <c r="L43" i="71"/>
  <c r="L44" i="71"/>
  <c r="L45" i="71"/>
  <c r="L46" i="71"/>
  <c r="L47" i="71"/>
  <c r="L48" i="71"/>
  <c r="L49" i="71"/>
  <c r="L50" i="71"/>
  <c r="L51" i="71"/>
  <c r="L52" i="71"/>
  <c r="L53" i="71"/>
  <c r="L54" i="71"/>
  <c r="Z37" i="71"/>
  <c r="Z38" i="71"/>
  <c r="Z39" i="71"/>
  <c r="Z40" i="71"/>
  <c r="Z41" i="71"/>
  <c r="Z42" i="71"/>
  <c r="Z43" i="71"/>
  <c r="Z44" i="71"/>
  <c r="Z45" i="71"/>
  <c r="Z46" i="71"/>
  <c r="Z47" i="71"/>
  <c r="Z48" i="71"/>
  <c r="Z49" i="71"/>
  <c r="Z50" i="71"/>
  <c r="Z51" i="71"/>
  <c r="Z52" i="71"/>
  <c r="Z53" i="71"/>
  <c r="Z54" i="71"/>
  <c r="L36" i="71" l="1"/>
  <c r="E83" i="61"/>
  <c r="F83" i="61"/>
  <c r="G83" i="61"/>
  <c r="E84" i="61"/>
  <c r="F84" i="61"/>
  <c r="G84" i="61"/>
  <c r="E85" i="61"/>
  <c r="F85" i="61"/>
  <c r="G85" i="61"/>
  <c r="D84" i="61"/>
  <c r="D85" i="61"/>
  <c r="D83" i="61"/>
  <c r="G81" i="61"/>
  <c r="F81" i="61"/>
  <c r="E81" i="61"/>
  <c r="D81" i="61"/>
  <c r="G80" i="61"/>
  <c r="F80" i="61"/>
  <c r="E80" i="61"/>
  <c r="D80" i="61"/>
  <c r="G79" i="61"/>
  <c r="F79" i="61"/>
  <c r="E79" i="61"/>
  <c r="D79" i="61"/>
  <c r="G78" i="61"/>
  <c r="F78" i="61"/>
  <c r="E78" i="61"/>
  <c r="D78" i="61"/>
  <c r="G76" i="61"/>
  <c r="F76" i="61"/>
  <c r="G75" i="61"/>
  <c r="F75" i="61"/>
  <c r="D75" i="61"/>
  <c r="G74" i="61"/>
  <c r="F74" i="61"/>
  <c r="G73" i="61"/>
  <c r="F73" i="61"/>
  <c r="E68" i="61"/>
  <c r="F68" i="61"/>
  <c r="G68" i="61"/>
  <c r="E69" i="61"/>
  <c r="F69" i="61"/>
  <c r="G69" i="61"/>
  <c r="E70" i="61"/>
  <c r="F70" i="61"/>
  <c r="G70" i="61"/>
  <c r="E71" i="61"/>
  <c r="F71" i="61"/>
  <c r="G71" i="61"/>
  <c r="D69" i="61"/>
  <c r="D70" i="61"/>
  <c r="D68" i="61"/>
  <c r="E66" i="61"/>
  <c r="G66" i="61"/>
  <c r="E65" i="61"/>
  <c r="F65" i="61"/>
  <c r="G65" i="61"/>
  <c r="E63" i="61"/>
  <c r="F63" i="61"/>
  <c r="G63" i="61"/>
  <c r="D65" i="61"/>
  <c r="E64" i="61"/>
  <c r="F64" i="61"/>
  <c r="G64" i="61"/>
  <c r="D64" i="61"/>
  <c r="L56" i="71" l="1"/>
  <c r="M56" i="71"/>
  <c r="N56" i="71"/>
  <c r="Z36" i="71" l="1"/>
  <c r="Z56" i="71" s="1"/>
  <c r="Q56" i="71"/>
  <c r="P56" i="71"/>
  <c r="O56" i="71"/>
  <c r="D57" i="61"/>
  <c r="Q57" i="61" l="1"/>
  <c r="T30" i="62"/>
  <c r="R86" i="61"/>
  <c r="Q40" i="61"/>
  <c r="Q37" i="61"/>
  <c r="Q35" i="61"/>
  <c r="Q34" i="61"/>
  <c r="Q33" i="61"/>
  <c r="Q32" i="61"/>
  <c r="Q3" i="58" l="1"/>
  <c r="P3" i="58"/>
  <c r="O3" i="58"/>
  <c r="N3" i="58"/>
  <c r="M3" i="58"/>
  <c r="Q6" i="58"/>
  <c r="P6" i="58"/>
  <c r="O6" i="58"/>
  <c r="N6" i="58"/>
  <c r="M6" i="58"/>
  <c r="O5" i="54" l="1"/>
  <c r="N5" i="54"/>
  <c r="M5" i="54"/>
  <c r="M3" i="54"/>
  <c r="D59" i="61" l="1"/>
  <c r="Q59" i="61" s="1"/>
  <c r="D58" i="61"/>
  <c r="Q58" i="61" s="1"/>
  <c r="D31" i="61"/>
  <c r="O3" i="54"/>
  <c r="L3" i="54"/>
  <c r="N3" i="54"/>
  <c r="G143" i="61" l="1"/>
  <c r="D143" i="61"/>
  <c r="E143" i="61"/>
  <c r="F143" i="61"/>
  <c r="G142" i="61"/>
  <c r="F142" i="61"/>
  <c r="E142" i="61"/>
  <c r="D142" i="61"/>
  <c r="D141" i="61"/>
  <c r="E141" i="61"/>
  <c r="F141" i="61"/>
  <c r="G141" i="61"/>
  <c r="G140" i="61"/>
  <c r="F140" i="61"/>
  <c r="E140" i="61"/>
  <c r="D140" i="61"/>
  <c r="N10" i="55" l="1"/>
  <c r="M10" i="55"/>
  <c r="L10" i="55"/>
  <c r="K35" i="55"/>
  <c r="Y10" i="55" l="1"/>
  <c r="Y35" i="55" s="1"/>
  <c r="N35" i="55"/>
  <c r="O35" i="55"/>
  <c r="M35" i="55"/>
  <c r="L35" i="55"/>
  <c r="L6" i="58"/>
  <c r="AF3" i="58" l="1"/>
  <c r="L3" i="58"/>
  <c r="M4" i="69"/>
  <c r="M49" i="69" s="1"/>
  <c r="M3" i="59" l="1"/>
  <c r="N3" i="59"/>
  <c r="O3" i="59"/>
  <c r="P3" i="59"/>
  <c r="L3" i="59"/>
  <c r="F2" i="28"/>
  <c r="G2" i="28"/>
  <c r="H2" i="28"/>
  <c r="D2" i="28"/>
  <c r="E2" i="28"/>
  <c r="AG49" i="69" l="1"/>
  <c r="O31" i="54"/>
  <c r="M31" i="54"/>
  <c r="N31" i="54"/>
  <c r="L31" i="54"/>
  <c r="P49" i="69" l="1"/>
  <c r="D150" i="61" l="1"/>
  <c r="E150" i="61"/>
  <c r="F150" i="61"/>
  <c r="G150" i="61"/>
  <c r="D160" i="61" l="1"/>
  <c r="E160" i="61"/>
  <c r="F160" i="61"/>
  <c r="G160" i="61"/>
  <c r="D161" i="61"/>
  <c r="E161" i="61"/>
  <c r="F161" i="61"/>
  <c r="G161" i="61"/>
  <c r="D162" i="61"/>
  <c r="E162" i="61"/>
  <c r="F162" i="61"/>
  <c r="G162" i="61"/>
  <c r="D188" i="61" l="1"/>
  <c r="G158" i="61" l="1"/>
  <c r="F158" i="61"/>
  <c r="E158" i="61"/>
  <c r="D158" i="61"/>
  <c r="G157" i="61"/>
  <c r="F157" i="61"/>
  <c r="E157" i="61"/>
  <c r="D157" i="61"/>
  <c r="G156" i="61"/>
  <c r="F156" i="61"/>
  <c r="E156" i="61"/>
  <c r="D156" i="61"/>
  <c r="G155" i="61"/>
  <c r="F155" i="61"/>
  <c r="E155" i="61"/>
  <c r="D155" i="61"/>
  <c r="G153" i="61"/>
  <c r="F153" i="61"/>
  <c r="E153" i="61"/>
  <c r="D153" i="61"/>
  <c r="G152" i="61"/>
  <c r="F152" i="61"/>
  <c r="E152" i="61"/>
  <c r="D152" i="61"/>
  <c r="G151" i="61"/>
  <c r="F151" i="61"/>
  <c r="E151" i="61"/>
  <c r="D151" i="61"/>
  <c r="G148" i="61"/>
  <c r="F148" i="61"/>
  <c r="E148" i="61"/>
  <c r="D148" i="61"/>
  <c r="G147" i="61"/>
  <c r="F147" i="61"/>
  <c r="E147" i="61"/>
  <c r="D147" i="61"/>
  <c r="G146" i="61"/>
  <c r="F146" i="61"/>
  <c r="E146" i="61"/>
  <c r="D146" i="61"/>
  <c r="G145" i="61"/>
  <c r="F145" i="61"/>
  <c r="E145" i="61"/>
  <c r="D145" i="61"/>
  <c r="Q162" i="61"/>
  <c r="G159" i="61"/>
  <c r="F159" i="61"/>
  <c r="E159" i="61"/>
  <c r="G149" i="61" l="1"/>
  <c r="D154" i="61"/>
  <c r="D144" i="61"/>
  <c r="D149" i="61"/>
  <c r="Q156" i="61"/>
  <c r="G144" i="61"/>
  <c r="G154" i="61"/>
  <c r="E139" i="61"/>
  <c r="Q142" i="61"/>
  <c r="E144" i="61"/>
  <c r="E149" i="61"/>
  <c r="E154" i="61"/>
  <c r="Q141" i="61"/>
  <c r="F144" i="61"/>
  <c r="F149" i="61"/>
  <c r="F154" i="61"/>
  <c r="Q161" i="61"/>
  <c r="D159" i="61"/>
  <c r="Q143" i="61"/>
  <c r="F139" i="61"/>
  <c r="Q140" i="61"/>
  <c r="G139" i="61"/>
  <c r="Q146" i="61"/>
  <c r="Q147" i="61"/>
  <c r="Q148" i="61"/>
  <c r="Q151" i="61"/>
  <c r="Q152" i="61"/>
  <c r="Q153" i="61"/>
  <c r="Q157" i="61"/>
  <c r="Q158" i="61"/>
  <c r="Q150" i="61"/>
  <c r="Q155" i="61"/>
  <c r="D139" i="61"/>
  <c r="Q145" i="61"/>
  <c r="G138" i="61" l="1"/>
  <c r="G137" i="61" s="1"/>
  <c r="F138" i="61"/>
  <c r="F137" i="61" s="1"/>
  <c r="Q144" i="61"/>
  <c r="E138" i="61"/>
  <c r="E137" i="61" s="1"/>
  <c r="D138" i="61"/>
  <c r="D137" i="61" s="1"/>
  <c r="Q149" i="61"/>
  <c r="Q154" i="61"/>
  <c r="Q160" i="61"/>
  <c r="Q159" i="61" s="1"/>
  <c r="Q139" i="61"/>
  <c r="Q138" i="61" l="1"/>
  <c r="R138" i="61" l="1"/>
  <c r="Q137" i="61"/>
  <c r="C90" i="64"/>
  <c r="C52" i="64"/>
  <c r="C3" i="64"/>
  <c r="D42" i="64" s="1"/>
  <c r="D57" i="64" l="1"/>
  <c r="D82" i="64"/>
  <c r="D21" i="64"/>
  <c r="D31" i="64"/>
  <c r="D30" i="64"/>
  <c r="D9" i="64"/>
  <c r="D19" i="64"/>
  <c r="D17" i="64"/>
  <c r="D10" i="64"/>
  <c r="D18" i="64"/>
  <c r="D38" i="64"/>
  <c r="D36" i="64"/>
  <c r="D20" i="64"/>
  <c r="D16" i="64"/>
  <c r="D15" i="64"/>
  <c r="D14" i="64"/>
  <c r="D12" i="64"/>
  <c r="D39" i="64"/>
  <c r="D27" i="64"/>
  <c r="D41" i="64"/>
  <c r="D48" i="64"/>
  <c r="D47" i="64"/>
  <c r="D46" i="64"/>
  <c r="D45" i="64"/>
  <c r="D44" i="64"/>
  <c r="D43" i="64"/>
  <c r="D40" i="64"/>
  <c r="D37" i="64"/>
  <c r="D26" i="64"/>
  <c r="D25" i="64"/>
  <c r="D35" i="64"/>
  <c r="D22" i="64"/>
  <c r="D24" i="64"/>
  <c r="D34" i="64"/>
  <c r="D32" i="64"/>
  <c r="D23" i="64"/>
  <c r="D33" i="64"/>
  <c r="D63" i="64"/>
  <c r="D62" i="64"/>
  <c r="D61" i="64"/>
  <c r="D56" i="64"/>
  <c r="D85" i="64"/>
  <c r="D84" i="64"/>
  <c r="D80" i="64"/>
  <c r="D83" i="64"/>
  <c r="D81" i="64"/>
  <c r="D68" i="64"/>
  <c r="D79" i="64"/>
  <c r="D78" i="64"/>
  <c r="D77" i="64"/>
  <c r="D76" i="64"/>
  <c r="D75" i="64"/>
  <c r="D74" i="64"/>
  <c r="D73" i="64"/>
  <c r="D72" i="64"/>
  <c r="D69" i="64"/>
  <c r="D67" i="64"/>
  <c r="D66" i="64"/>
  <c r="D65" i="64"/>
  <c r="D64" i="64"/>
  <c r="D118" i="64"/>
  <c r="D117" i="64"/>
  <c r="D116" i="64"/>
  <c r="D115" i="64"/>
  <c r="D114" i="64"/>
  <c r="D113" i="64"/>
  <c r="D99" i="64"/>
  <c r="D112" i="64"/>
  <c r="D111" i="64"/>
  <c r="D139" i="64"/>
  <c r="D110" i="64"/>
  <c r="D138" i="64"/>
  <c r="D137" i="64"/>
  <c r="D136" i="64"/>
  <c r="D135" i="64"/>
  <c r="D134" i="64"/>
  <c r="D133" i="64"/>
  <c r="D132" i="64"/>
  <c r="D131" i="64"/>
  <c r="D130" i="64"/>
  <c r="D129" i="64"/>
  <c r="D128" i="64"/>
  <c r="D127" i="64"/>
  <c r="D126" i="64"/>
  <c r="D123" i="64"/>
  <c r="D107" i="64"/>
  <c r="D106" i="64"/>
  <c r="D105" i="64"/>
  <c r="D104" i="64"/>
  <c r="D103" i="64"/>
  <c r="D102" i="64"/>
  <c r="D101" i="64"/>
  <c r="D100" i="64"/>
  <c r="D122" i="64"/>
  <c r="D121" i="64"/>
  <c r="D119" i="64"/>
  <c r="D120" i="64"/>
  <c r="D11" i="64"/>
  <c r="D13" i="64"/>
  <c r="D96" i="64"/>
  <c r="D97" i="64"/>
  <c r="D95" i="64"/>
  <c r="D98" i="64"/>
  <c r="D94" i="64"/>
  <c r="D59" i="64"/>
  <c r="D58" i="64"/>
  <c r="D60" i="64"/>
  <c r="E86" i="62"/>
  <c r="S106" i="64" l="1"/>
  <c r="R106" i="64"/>
  <c r="S107" i="64"/>
  <c r="S67" i="64"/>
  <c r="Q67" i="64"/>
  <c r="R67" i="64"/>
  <c r="S123" i="64"/>
  <c r="K77" i="64"/>
  <c r="R77" i="64"/>
  <c r="Q77" i="64"/>
  <c r="P77" i="64"/>
  <c r="S77" i="64"/>
  <c r="O77" i="64"/>
  <c r="N77" i="64"/>
  <c r="M77" i="64"/>
  <c r="L77" i="64"/>
  <c r="S78" i="64"/>
  <c r="R78" i="64"/>
  <c r="Q78" i="64"/>
  <c r="P78" i="64"/>
  <c r="O78" i="64"/>
  <c r="N78" i="64"/>
  <c r="M78" i="64"/>
  <c r="L78" i="64"/>
  <c r="P66" i="64"/>
  <c r="Q66" i="64"/>
  <c r="R66" i="64"/>
  <c r="S66" i="64"/>
  <c r="S79" i="64"/>
  <c r="R79" i="64"/>
  <c r="Q79" i="64"/>
  <c r="P79" i="64"/>
  <c r="O79" i="64"/>
  <c r="N79" i="64"/>
  <c r="M79" i="64"/>
  <c r="Q34" i="64"/>
  <c r="O34" i="64"/>
  <c r="J34" i="64"/>
  <c r="K34" i="64"/>
  <c r="L34" i="64"/>
  <c r="M34" i="64"/>
  <c r="P34" i="64"/>
  <c r="N34" i="64"/>
  <c r="R34" i="64"/>
  <c r="S34" i="64"/>
  <c r="S68" i="64"/>
  <c r="R68" i="64"/>
  <c r="S81" i="64"/>
  <c r="R81" i="64"/>
  <c r="Q81" i="64"/>
  <c r="P81" i="64"/>
  <c r="O81" i="64"/>
  <c r="X126" i="64"/>
  <c r="W126" i="64"/>
  <c r="V126" i="64"/>
  <c r="U126" i="64"/>
  <c r="T126" i="64"/>
  <c r="S126" i="64"/>
  <c r="R126" i="64"/>
  <c r="Q126" i="64"/>
  <c r="P126" i="64"/>
  <c r="O126" i="64"/>
  <c r="N126" i="64"/>
  <c r="M126" i="64"/>
  <c r="L126" i="64"/>
  <c r="K126" i="64"/>
  <c r="J126" i="64"/>
  <c r="I126" i="64"/>
  <c r="H126" i="64"/>
  <c r="G126" i="64"/>
  <c r="S82" i="64"/>
  <c r="R82" i="64"/>
  <c r="Q82" i="64"/>
  <c r="P82" i="64"/>
  <c r="S22" i="64"/>
  <c r="S127" i="64"/>
  <c r="R127" i="64"/>
  <c r="Q127" i="64"/>
  <c r="P127" i="64"/>
  <c r="O127" i="64"/>
  <c r="N127" i="64"/>
  <c r="M127" i="64"/>
  <c r="L127" i="64"/>
  <c r="K127" i="64"/>
  <c r="J127" i="64"/>
  <c r="I127" i="64"/>
  <c r="H127" i="64"/>
  <c r="G127" i="64"/>
  <c r="G140" i="64" s="1"/>
  <c r="S83" i="64"/>
  <c r="R83" i="64"/>
  <c r="Q83" i="64"/>
  <c r="S35" i="64"/>
  <c r="R35" i="64"/>
  <c r="Q35" i="64"/>
  <c r="P35" i="64"/>
  <c r="O35" i="64"/>
  <c r="N35" i="64"/>
  <c r="M35" i="64"/>
  <c r="L35" i="64"/>
  <c r="K35" i="64"/>
  <c r="M128" i="64"/>
  <c r="N128" i="64"/>
  <c r="L128" i="64"/>
  <c r="S128" i="64"/>
  <c r="R128" i="64"/>
  <c r="Q128" i="64"/>
  <c r="P128" i="64"/>
  <c r="O128" i="64"/>
  <c r="K128" i="64"/>
  <c r="J128" i="64"/>
  <c r="H128" i="64"/>
  <c r="I128" i="64"/>
  <c r="S80" i="64"/>
  <c r="R80" i="64"/>
  <c r="Q80" i="64"/>
  <c r="P80" i="64"/>
  <c r="O80" i="64"/>
  <c r="N80" i="64"/>
  <c r="S129" i="64"/>
  <c r="R129" i="64"/>
  <c r="Q129" i="64"/>
  <c r="P129" i="64"/>
  <c r="O129" i="64"/>
  <c r="N129" i="64"/>
  <c r="M129" i="64"/>
  <c r="L129" i="64"/>
  <c r="K129" i="64"/>
  <c r="J129" i="64"/>
  <c r="I129" i="64"/>
  <c r="S84" i="64"/>
  <c r="R84" i="64"/>
  <c r="S130" i="64"/>
  <c r="R130" i="64"/>
  <c r="Q130" i="64"/>
  <c r="P130" i="64"/>
  <c r="O130" i="64"/>
  <c r="N130" i="64"/>
  <c r="M130" i="64"/>
  <c r="L130" i="64"/>
  <c r="K130" i="64"/>
  <c r="J130" i="64"/>
  <c r="S85" i="64"/>
  <c r="S37" i="64"/>
  <c r="R37" i="64"/>
  <c r="Q37" i="64"/>
  <c r="P37" i="64"/>
  <c r="O37" i="64"/>
  <c r="N37" i="64"/>
  <c r="M37" i="64"/>
  <c r="P103" i="64"/>
  <c r="O103" i="64"/>
  <c r="S103" i="64"/>
  <c r="R103" i="64"/>
  <c r="Q103" i="64"/>
  <c r="P131" i="64"/>
  <c r="Q131" i="64"/>
  <c r="O131" i="64"/>
  <c r="S131" i="64"/>
  <c r="R131" i="64"/>
  <c r="N131" i="64"/>
  <c r="M131" i="64"/>
  <c r="K131" i="64"/>
  <c r="L131" i="64"/>
  <c r="S40" i="64"/>
  <c r="R40" i="64"/>
  <c r="Q40" i="64"/>
  <c r="P40" i="64"/>
  <c r="P104" i="64"/>
  <c r="S104" i="64"/>
  <c r="R104" i="64"/>
  <c r="Q104" i="64"/>
  <c r="S132" i="64"/>
  <c r="R132" i="64"/>
  <c r="Q132" i="64"/>
  <c r="P132" i="64"/>
  <c r="O132" i="64"/>
  <c r="N132" i="64"/>
  <c r="M132" i="64"/>
  <c r="L132" i="64"/>
  <c r="R42" i="64"/>
  <c r="S42" i="64"/>
  <c r="S43" i="64"/>
  <c r="S69" i="64"/>
  <c r="S136" i="64"/>
  <c r="R136" i="64"/>
  <c r="Q136" i="64"/>
  <c r="P136" i="64"/>
  <c r="P100" i="64"/>
  <c r="Q100" i="64"/>
  <c r="O100" i="64"/>
  <c r="S100" i="64"/>
  <c r="N100" i="64"/>
  <c r="R100" i="64"/>
  <c r="M100" i="64"/>
  <c r="L100" i="64"/>
  <c r="S137" i="64"/>
  <c r="R137" i="64"/>
  <c r="Q137" i="64"/>
  <c r="Q61" i="64"/>
  <c r="K61" i="64"/>
  <c r="N61" i="64"/>
  <c r="S61" i="64"/>
  <c r="L61" i="64"/>
  <c r="O61" i="64"/>
  <c r="M61" i="64"/>
  <c r="R61" i="64"/>
  <c r="P61" i="64"/>
  <c r="S138" i="64"/>
  <c r="R138" i="64"/>
  <c r="K110" i="64"/>
  <c r="L110" i="64"/>
  <c r="M110" i="64"/>
  <c r="N110" i="64"/>
  <c r="O110" i="64"/>
  <c r="P110" i="64"/>
  <c r="Q110" i="64"/>
  <c r="R110" i="64"/>
  <c r="S110" i="64"/>
  <c r="T110" i="64"/>
  <c r="U110" i="64"/>
  <c r="V110" i="64"/>
  <c r="W110" i="64"/>
  <c r="X110" i="64"/>
  <c r="O62" i="64"/>
  <c r="S62" i="64"/>
  <c r="P62" i="64"/>
  <c r="L62" i="64"/>
  <c r="N62" i="64"/>
  <c r="Q62" i="64"/>
  <c r="M62" i="64"/>
  <c r="R62" i="64"/>
  <c r="Q41" i="64"/>
  <c r="S41" i="64"/>
  <c r="R41" i="64"/>
  <c r="S139" i="64"/>
  <c r="O63" i="64"/>
  <c r="Q63" i="64"/>
  <c r="S63" i="64"/>
  <c r="P63" i="64"/>
  <c r="M63" i="64"/>
  <c r="R63" i="64"/>
  <c r="N63" i="64"/>
  <c r="P101" i="64"/>
  <c r="O101" i="64"/>
  <c r="S101" i="64"/>
  <c r="N101" i="64"/>
  <c r="Q101" i="64"/>
  <c r="R101" i="64"/>
  <c r="M101" i="64"/>
  <c r="Q111" i="64"/>
  <c r="K111" i="64"/>
  <c r="P111" i="64"/>
  <c r="O111" i="64"/>
  <c r="S111" i="64"/>
  <c r="N111" i="64"/>
  <c r="R111" i="64"/>
  <c r="M111" i="64"/>
  <c r="L111" i="64"/>
  <c r="S39" i="64"/>
  <c r="R39" i="64"/>
  <c r="Q39" i="64"/>
  <c r="P39" i="64"/>
  <c r="O39" i="64"/>
  <c r="L12" i="64"/>
  <c r="O12" i="64"/>
  <c r="P12" i="64"/>
  <c r="N12" i="64"/>
  <c r="M12" i="64"/>
  <c r="Q12" i="64"/>
  <c r="R12" i="64"/>
  <c r="S12" i="64"/>
  <c r="K12" i="64"/>
  <c r="N94" i="64"/>
  <c r="O94" i="64"/>
  <c r="P94" i="64"/>
  <c r="Q94" i="64"/>
  <c r="R94" i="64"/>
  <c r="S94" i="64"/>
  <c r="K94" i="64"/>
  <c r="L94" i="64"/>
  <c r="M94" i="64"/>
  <c r="L112" i="64"/>
  <c r="Q112" i="64"/>
  <c r="K112" i="64"/>
  <c r="P112" i="64"/>
  <c r="O112" i="64"/>
  <c r="M112" i="64"/>
  <c r="S112" i="64"/>
  <c r="N112" i="64"/>
  <c r="R112" i="64"/>
  <c r="L14" i="64"/>
  <c r="M14" i="64"/>
  <c r="N14" i="64"/>
  <c r="O14" i="64"/>
  <c r="P14" i="64"/>
  <c r="Q14" i="64"/>
  <c r="R14" i="64"/>
  <c r="S14" i="64"/>
  <c r="K14" i="64"/>
  <c r="J98" i="64"/>
  <c r="P98" i="64"/>
  <c r="O98" i="64"/>
  <c r="S98" i="64"/>
  <c r="K98" i="64"/>
  <c r="N98" i="64"/>
  <c r="R98" i="64"/>
  <c r="M98" i="64"/>
  <c r="L98" i="64"/>
  <c r="Q98" i="64"/>
  <c r="S15" i="64"/>
  <c r="R15" i="64"/>
  <c r="Q15" i="64"/>
  <c r="P15" i="64"/>
  <c r="O15" i="64"/>
  <c r="N15" i="64"/>
  <c r="M15" i="64"/>
  <c r="L15" i="64"/>
  <c r="S135" i="64"/>
  <c r="Q135" i="64"/>
  <c r="R135" i="64"/>
  <c r="P135" i="64"/>
  <c r="O135" i="64"/>
  <c r="P99" i="64"/>
  <c r="L99" i="64"/>
  <c r="O99" i="64"/>
  <c r="S99" i="64"/>
  <c r="N99" i="64"/>
  <c r="Q99" i="64"/>
  <c r="R99" i="64"/>
  <c r="M99" i="64"/>
  <c r="K99" i="64"/>
  <c r="S16" i="64"/>
  <c r="Q16" i="64"/>
  <c r="R16" i="64"/>
  <c r="P16" i="64"/>
  <c r="O16" i="64"/>
  <c r="N16" i="64"/>
  <c r="M16" i="64"/>
  <c r="P97" i="64"/>
  <c r="O97" i="64"/>
  <c r="S97" i="64"/>
  <c r="N97" i="64"/>
  <c r="R97" i="64"/>
  <c r="M97" i="64"/>
  <c r="K97" i="64"/>
  <c r="L97" i="64"/>
  <c r="Q97" i="64"/>
  <c r="L113" i="64"/>
  <c r="Q113" i="64"/>
  <c r="K113" i="64"/>
  <c r="P113" i="64"/>
  <c r="M113" i="64"/>
  <c r="O113" i="64"/>
  <c r="S113" i="64"/>
  <c r="N113" i="64"/>
  <c r="R113" i="64"/>
  <c r="R20" i="64"/>
  <c r="S20" i="64"/>
  <c r="Q20" i="64"/>
  <c r="O36" i="64"/>
  <c r="R36" i="64"/>
  <c r="S36" i="64"/>
  <c r="P36" i="64"/>
  <c r="Q36" i="64"/>
  <c r="N36" i="64"/>
  <c r="M36" i="64"/>
  <c r="L36" i="64"/>
  <c r="S134" i="64"/>
  <c r="R134" i="64"/>
  <c r="Q134" i="64"/>
  <c r="P134" i="64"/>
  <c r="O134" i="64"/>
  <c r="N134" i="64"/>
  <c r="L114" i="64"/>
  <c r="Q114" i="64"/>
  <c r="K114" i="64"/>
  <c r="M114" i="64"/>
  <c r="P114" i="64"/>
  <c r="O114" i="64"/>
  <c r="S114" i="64"/>
  <c r="R114" i="64"/>
  <c r="N114" i="64"/>
  <c r="O38" i="64"/>
  <c r="R38" i="64"/>
  <c r="P38" i="64"/>
  <c r="Q38" i="64"/>
  <c r="S38" i="64"/>
  <c r="N38" i="64"/>
  <c r="S18" i="64"/>
  <c r="Q18" i="64"/>
  <c r="R18" i="64"/>
  <c r="P18" i="64"/>
  <c r="O18" i="64"/>
  <c r="S105" i="64"/>
  <c r="R105" i="64"/>
  <c r="Q105" i="64"/>
  <c r="L115" i="64"/>
  <c r="R115" i="64"/>
  <c r="Q115" i="64"/>
  <c r="K115" i="64"/>
  <c r="P115" i="64"/>
  <c r="O115" i="64"/>
  <c r="S115" i="64"/>
  <c r="N115" i="64"/>
  <c r="M115" i="64"/>
  <c r="P95" i="64"/>
  <c r="O95" i="64"/>
  <c r="S95" i="64"/>
  <c r="N95" i="64"/>
  <c r="R95" i="64"/>
  <c r="M95" i="64"/>
  <c r="L95" i="64"/>
  <c r="Q95" i="64"/>
  <c r="K95" i="64"/>
  <c r="S17" i="64"/>
  <c r="R17" i="64"/>
  <c r="Q17" i="64"/>
  <c r="P17" i="64"/>
  <c r="O17" i="64"/>
  <c r="N17" i="64"/>
  <c r="P96" i="64"/>
  <c r="Q96" i="64"/>
  <c r="O96" i="64"/>
  <c r="S96" i="64"/>
  <c r="K96" i="64"/>
  <c r="N96" i="64"/>
  <c r="R96" i="64"/>
  <c r="M96" i="64"/>
  <c r="L96" i="64"/>
  <c r="J114" i="64"/>
  <c r="Q119" i="64"/>
  <c r="P119" i="64"/>
  <c r="O119" i="64"/>
  <c r="S119" i="64"/>
  <c r="R119" i="64"/>
  <c r="L116" i="64"/>
  <c r="R116" i="64"/>
  <c r="Q116" i="64"/>
  <c r="P116" i="64"/>
  <c r="O116" i="64"/>
  <c r="S116" i="64"/>
  <c r="N116" i="64"/>
  <c r="M116" i="64"/>
  <c r="S19" i="64"/>
  <c r="R19" i="64"/>
  <c r="Q19" i="64"/>
  <c r="P19" i="64"/>
  <c r="S133" i="64"/>
  <c r="R133" i="64"/>
  <c r="Q133" i="64"/>
  <c r="P133" i="64"/>
  <c r="O133" i="64"/>
  <c r="N133" i="64"/>
  <c r="M133" i="64"/>
  <c r="Q120" i="64"/>
  <c r="P120" i="64"/>
  <c r="S120" i="64"/>
  <c r="R120" i="64"/>
  <c r="R121" i="64"/>
  <c r="Q121" i="64"/>
  <c r="S121" i="64"/>
  <c r="Q117" i="64"/>
  <c r="P117" i="64"/>
  <c r="O117" i="64"/>
  <c r="S117" i="64"/>
  <c r="N117" i="64"/>
  <c r="R117" i="64"/>
  <c r="M117" i="64"/>
  <c r="R122" i="64"/>
  <c r="S122" i="64"/>
  <c r="Q118" i="64"/>
  <c r="P118" i="64"/>
  <c r="O118" i="64"/>
  <c r="S118" i="64"/>
  <c r="N118" i="64"/>
  <c r="R118" i="64"/>
  <c r="O64" i="64"/>
  <c r="S64" i="64"/>
  <c r="P64" i="64"/>
  <c r="Q64" i="64"/>
  <c r="R64" i="64"/>
  <c r="N64" i="64"/>
  <c r="P102" i="64"/>
  <c r="O102" i="64"/>
  <c r="S102" i="64"/>
  <c r="N102" i="64"/>
  <c r="R102" i="64"/>
  <c r="Q102" i="64"/>
  <c r="Q65" i="64"/>
  <c r="O65" i="64"/>
  <c r="P65" i="64"/>
  <c r="S65" i="64"/>
  <c r="R65" i="64"/>
  <c r="S21" i="64"/>
  <c r="R21" i="64"/>
  <c r="K13" i="64"/>
  <c r="R13" i="64"/>
  <c r="Q13" i="64"/>
  <c r="S13" i="64"/>
  <c r="L13" i="64"/>
  <c r="M13" i="64"/>
  <c r="O13" i="64"/>
  <c r="P13" i="64"/>
  <c r="N13" i="64"/>
  <c r="K11" i="64"/>
  <c r="Q11" i="64"/>
  <c r="L11" i="64"/>
  <c r="N11" i="64"/>
  <c r="P11" i="64"/>
  <c r="M11" i="64"/>
  <c r="O11" i="64"/>
  <c r="R11" i="64"/>
  <c r="S11" i="64"/>
  <c r="I111" i="64"/>
  <c r="H111" i="64"/>
  <c r="G111" i="64"/>
  <c r="G124" i="64" s="1"/>
  <c r="J111" i="64"/>
  <c r="H110" i="64"/>
  <c r="I110" i="64"/>
  <c r="G110" i="64"/>
  <c r="J110" i="64"/>
  <c r="G94" i="64"/>
  <c r="I94" i="64"/>
  <c r="H94" i="64"/>
  <c r="J94" i="64"/>
  <c r="J97" i="64"/>
  <c r="I97" i="64"/>
  <c r="J95" i="64"/>
  <c r="G95" i="64"/>
  <c r="G108" i="64" s="1"/>
  <c r="I95" i="64"/>
  <c r="H95" i="64"/>
  <c r="I112" i="64"/>
  <c r="J112" i="64"/>
  <c r="H112" i="64"/>
  <c r="J113" i="64"/>
  <c r="I113" i="64"/>
  <c r="H96" i="64"/>
  <c r="J96" i="64"/>
  <c r="I96" i="64"/>
  <c r="H140" i="64" l="1"/>
  <c r="I140" i="64"/>
  <c r="J140" i="64"/>
  <c r="K140" i="64"/>
  <c r="P108" i="64"/>
  <c r="O108" i="64"/>
  <c r="L140" i="64"/>
  <c r="S108" i="64"/>
  <c r="N124" i="64"/>
  <c r="M124" i="64"/>
  <c r="S124" i="64"/>
  <c r="O124" i="64"/>
  <c r="P124" i="64"/>
  <c r="M140" i="64"/>
  <c r="K124" i="64"/>
  <c r="N140" i="64"/>
  <c r="Q124" i="64"/>
  <c r="O140" i="64"/>
  <c r="P140" i="64"/>
  <c r="Q140" i="64"/>
  <c r="R140" i="64"/>
  <c r="S140" i="64"/>
  <c r="R124" i="64"/>
  <c r="L124" i="64"/>
  <c r="I108" i="64"/>
  <c r="J124" i="64"/>
  <c r="H124" i="64"/>
  <c r="I124" i="64"/>
  <c r="J108" i="64"/>
  <c r="K108" i="64"/>
  <c r="Q108" i="64"/>
  <c r="L108" i="64"/>
  <c r="M108" i="64"/>
  <c r="R108" i="64"/>
  <c r="H108" i="64"/>
  <c r="N108" i="64"/>
  <c r="Y3" i="54"/>
  <c r="Y31" i="54" s="1"/>
  <c r="S141" i="64" l="1"/>
  <c r="R29" i="62" s="1"/>
  <c r="R27" i="62" s="1"/>
  <c r="K141" i="64"/>
  <c r="J29" i="62" s="1"/>
  <c r="J27" i="62" s="1"/>
  <c r="L141" i="64"/>
  <c r="K29" i="62" s="1"/>
  <c r="K27" i="62" s="1"/>
  <c r="M141" i="64"/>
  <c r="L29" i="62" s="1"/>
  <c r="L27" i="62" s="1"/>
  <c r="Q141" i="64"/>
  <c r="P29" i="62" s="1"/>
  <c r="P27" i="62" s="1"/>
  <c r="P141" i="64"/>
  <c r="O29" i="62" s="1"/>
  <c r="O27" i="62" s="1"/>
  <c r="J141" i="64"/>
  <c r="I29" i="62" s="1"/>
  <c r="O141" i="64"/>
  <c r="N29" i="62" s="1"/>
  <c r="N27" i="62" s="1"/>
  <c r="I141" i="64"/>
  <c r="H29" i="62" s="1"/>
  <c r="R141" i="64"/>
  <c r="Q29" i="62" s="1"/>
  <c r="Q27" i="62" s="1"/>
  <c r="H141" i="64"/>
  <c r="G29" i="62" s="1"/>
  <c r="G141" i="64"/>
  <c r="F29" i="62" s="1"/>
  <c r="N141" i="64"/>
  <c r="M29" i="62" s="1"/>
  <c r="M27" i="62" s="1"/>
  <c r="D55" i="61"/>
  <c r="D50" i="61"/>
  <c r="D49" i="61"/>
  <c r="D48" i="61"/>
  <c r="D47" i="61"/>
  <c r="S29" i="62" l="1"/>
  <c r="Q47" i="61"/>
  <c r="Q49" i="61"/>
  <c r="Q48" i="61"/>
  <c r="Q50" i="61"/>
  <c r="Q55" i="61"/>
  <c r="D46" i="61"/>
  <c r="Q46" i="61" l="1"/>
  <c r="R3" i="61" l="1"/>
  <c r="A3" i="64" s="1"/>
  <c r="T3" i="62" l="1"/>
  <c r="AG203" i="61" l="1"/>
  <c r="AG202" i="61"/>
  <c r="AG201" i="61"/>
  <c r="O5" i="59"/>
  <c r="D196" i="64" s="1"/>
  <c r="M5" i="59"/>
  <c r="D194" i="64" s="1"/>
  <c r="N5" i="59"/>
  <c r="D195" i="64" s="1"/>
  <c r="D197" i="64"/>
  <c r="D186" i="61"/>
  <c r="E186" i="61"/>
  <c r="E201" i="61" s="1"/>
  <c r="F186" i="61"/>
  <c r="F201" i="61" s="1"/>
  <c r="G186" i="61"/>
  <c r="G201" i="61" s="1"/>
  <c r="D187" i="61"/>
  <c r="E187" i="61"/>
  <c r="E202" i="61" s="1"/>
  <c r="F187" i="61"/>
  <c r="F202" i="61" s="1"/>
  <c r="G187" i="61"/>
  <c r="G202" i="61" s="1"/>
  <c r="E188" i="61"/>
  <c r="F188" i="61"/>
  <c r="F203" i="61" s="1"/>
  <c r="G188" i="61"/>
  <c r="G203" i="61" s="1"/>
  <c r="G184" i="61"/>
  <c r="F184" i="61"/>
  <c r="E184" i="61"/>
  <c r="D184" i="61"/>
  <c r="G183" i="61"/>
  <c r="F183" i="61"/>
  <c r="E183" i="61"/>
  <c r="D183" i="61"/>
  <c r="G182" i="61"/>
  <c r="F182" i="61"/>
  <c r="E182" i="61"/>
  <c r="D182" i="61"/>
  <c r="G181" i="61"/>
  <c r="F181" i="61"/>
  <c r="E181" i="61"/>
  <c r="D181" i="61"/>
  <c r="G179" i="61"/>
  <c r="F179" i="61"/>
  <c r="E179" i="61"/>
  <c r="D179" i="61"/>
  <c r="G178" i="61"/>
  <c r="F178" i="61"/>
  <c r="E178" i="61"/>
  <c r="D178" i="61"/>
  <c r="G177" i="61"/>
  <c r="F177" i="61"/>
  <c r="E177" i="61"/>
  <c r="D177" i="61"/>
  <c r="G176" i="61"/>
  <c r="F176" i="61"/>
  <c r="E176" i="61"/>
  <c r="D176" i="61"/>
  <c r="Q84" i="61"/>
  <c r="Q81" i="61"/>
  <c r="Q80" i="61"/>
  <c r="Q79" i="61"/>
  <c r="Q78" i="61"/>
  <c r="Q74" i="61"/>
  <c r="Q73" i="61"/>
  <c r="Q70" i="61"/>
  <c r="Q68" i="61"/>
  <c r="Q63" i="61"/>
  <c r="Q64" i="61"/>
  <c r="Q66" i="61"/>
  <c r="D54" i="61"/>
  <c r="Q54" i="61" s="1"/>
  <c r="D53" i="61"/>
  <c r="D52" i="61"/>
  <c r="Q52" i="61" s="1"/>
  <c r="D44" i="61"/>
  <c r="D43" i="61"/>
  <c r="D42" i="61"/>
  <c r="F194" i="64"/>
  <c r="F195" i="64"/>
  <c r="F196" i="64"/>
  <c r="F197" i="64"/>
  <c r="F58" i="62"/>
  <c r="G58" i="62"/>
  <c r="G96" i="62" s="1"/>
  <c r="H58" i="62"/>
  <c r="I58" i="62"/>
  <c r="F59" i="62"/>
  <c r="G59" i="62"/>
  <c r="G97" i="62" s="1"/>
  <c r="H59" i="62"/>
  <c r="H97" i="62" s="1"/>
  <c r="I59" i="62"/>
  <c r="I97" i="62" s="1"/>
  <c r="F60" i="62"/>
  <c r="G60" i="62"/>
  <c r="G98" i="62" s="1"/>
  <c r="H60" i="62"/>
  <c r="H98" i="62" s="1"/>
  <c r="I60" i="62"/>
  <c r="I98" i="62" s="1"/>
  <c r="F61" i="62"/>
  <c r="G61" i="62"/>
  <c r="G99" i="62" s="1"/>
  <c r="H61" i="62"/>
  <c r="H99" i="62" s="1"/>
  <c r="I61" i="62"/>
  <c r="I99" i="62" s="1"/>
  <c r="E58" i="62"/>
  <c r="E59" i="62"/>
  <c r="G91" i="62"/>
  <c r="I91" i="62"/>
  <c r="G92" i="62"/>
  <c r="H92" i="62"/>
  <c r="I92" i="62"/>
  <c r="G93" i="62"/>
  <c r="H93" i="62"/>
  <c r="I93" i="62"/>
  <c r="G94" i="62"/>
  <c r="H94" i="62"/>
  <c r="E49" i="62"/>
  <c r="S49" i="62" s="1"/>
  <c r="E50" i="62"/>
  <c r="E51" i="62"/>
  <c r="E52" i="62"/>
  <c r="S52" i="62" s="1"/>
  <c r="F93" i="62"/>
  <c r="F91" i="62"/>
  <c r="G81" i="62"/>
  <c r="H81" i="62"/>
  <c r="I81" i="62"/>
  <c r="E81" i="62"/>
  <c r="I76" i="62"/>
  <c r="F77" i="62"/>
  <c r="G77" i="62"/>
  <c r="H77" i="62"/>
  <c r="I77" i="62"/>
  <c r="I78" i="62"/>
  <c r="E79" i="62"/>
  <c r="E76" i="62"/>
  <c r="Q69" i="61"/>
  <c r="E82" i="62"/>
  <c r="F82" i="62"/>
  <c r="Q76" i="61"/>
  <c r="Q75" i="61"/>
  <c r="Q65" i="61"/>
  <c r="Q83" i="61"/>
  <c r="Q71" i="61"/>
  <c r="Q85" i="61"/>
  <c r="F84" i="62"/>
  <c r="I83" i="62"/>
  <c r="E84" i="62"/>
  <c r="H83" i="62"/>
  <c r="F83" i="62"/>
  <c r="G83" i="62"/>
  <c r="H76" i="62"/>
  <c r="I79" i="62"/>
  <c r="D45" i="61"/>
  <c r="F76" i="62"/>
  <c r="H79" i="62"/>
  <c r="E78" i="62"/>
  <c r="F78" i="62"/>
  <c r="G78" i="62"/>
  <c r="H78" i="62"/>
  <c r="G76" i="62"/>
  <c r="E62" i="62"/>
  <c r="F172" i="64"/>
  <c r="F171" i="64"/>
  <c r="F170" i="64"/>
  <c r="F169" i="64"/>
  <c r="F168" i="64"/>
  <c r="F151" i="64"/>
  <c r="F150" i="64"/>
  <c r="F149" i="64"/>
  <c r="F148" i="64"/>
  <c r="F147" i="64"/>
  <c r="F76" i="64"/>
  <c r="F75" i="64"/>
  <c r="F74" i="64"/>
  <c r="F73" i="64"/>
  <c r="F72" i="64"/>
  <c r="F60" i="64"/>
  <c r="F59" i="64"/>
  <c r="F58" i="64"/>
  <c r="F57" i="64"/>
  <c r="G57" i="64" s="1"/>
  <c r="G70" i="64" s="1"/>
  <c r="F56" i="64"/>
  <c r="F33" i="64"/>
  <c r="F32" i="64"/>
  <c r="F31" i="64"/>
  <c r="F30" i="64"/>
  <c r="F10" i="64"/>
  <c r="F9" i="64"/>
  <c r="E61" i="62"/>
  <c r="E60" i="62"/>
  <c r="AG197" i="61"/>
  <c r="AG196" i="61"/>
  <c r="AG195" i="61"/>
  <c r="AG194" i="61"/>
  <c r="Q184" i="61" l="1"/>
  <c r="AF184" i="61" s="1"/>
  <c r="Q177" i="61"/>
  <c r="S78" i="62"/>
  <c r="S77" i="62"/>
  <c r="S76" i="62"/>
  <c r="S83" i="62"/>
  <c r="S59" i="62"/>
  <c r="F96" i="62"/>
  <c r="S58" i="62"/>
  <c r="S60" i="62"/>
  <c r="F99" i="62"/>
  <c r="S99" i="62" s="1"/>
  <c r="S61" i="62"/>
  <c r="Q179" i="61"/>
  <c r="Q183" i="61"/>
  <c r="AF183" i="61" s="1"/>
  <c r="Q176" i="61"/>
  <c r="Q181" i="61"/>
  <c r="AF181" i="61" s="1"/>
  <c r="Q182" i="61"/>
  <c r="AF182" i="61" s="1"/>
  <c r="E203" i="61"/>
  <c r="E200" i="61" s="1"/>
  <c r="Q188" i="61"/>
  <c r="AF188" i="61" s="1"/>
  <c r="D202" i="61"/>
  <c r="Q187" i="61"/>
  <c r="AF187" i="61" s="1"/>
  <c r="D201" i="61"/>
  <c r="Q186" i="61"/>
  <c r="Q178" i="61"/>
  <c r="AF178" i="61" s="1"/>
  <c r="Q53" i="61"/>
  <c r="L197" i="64"/>
  <c r="K197" i="64"/>
  <c r="M197" i="64"/>
  <c r="N197" i="64"/>
  <c r="Q197" i="64"/>
  <c r="S197" i="64"/>
  <c r="O197" i="64"/>
  <c r="P197" i="64"/>
  <c r="R197" i="64"/>
  <c r="K195" i="64"/>
  <c r="L195" i="64"/>
  <c r="M195" i="64"/>
  <c r="N195" i="64"/>
  <c r="O195" i="64"/>
  <c r="P195" i="64"/>
  <c r="Q195" i="64"/>
  <c r="R195" i="64"/>
  <c r="S195" i="64"/>
  <c r="Q194" i="64"/>
  <c r="R194" i="64"/>
  <c r="S194" i="64"/>
  <c r="M194" i="64"/>
  <c r="O194" i="64"/>
  <c r="K194" i="64"/>
  <c r="L194" i="64"/>
  <c r="N194" i="64"/>
  <c r="P194" i="64"/>
  <c r="Q196" i="64"/>
  <c r="M196" i="64"/>
  <c r="R196" i="64"/>
  <c r="L196" i="64"/>
  <c r="S196" i="64"/>
  <c r="O196" i="64"/>
  <c r="P196" i="64"/>
  <c r="N196" i="64"/>
  <c r="K196" i="64"/>
  <c r="Q82" i="61"/>
  <c r="Q62" i="61"/>
  <c r="E98" i="62"/>
  <c r="E99" i="62"/>
  <c r="E97" i="62"/>
  <c r="E96" i="62"/>
  <c r="E93" i="62"/>
  <c r="S93" i="62" s="1"/>
  <c r="S51" i="62"/>
  <c r="E92" i="62"/>
  <c r="S50" i="62"/>
  <c r="S60" i="64"/>
  <c r="M60" i="64"/>
  <c r="P60" i="64"/>
  <c r="L60" i="64"/>
  <c r="Q60" i="64"/>
  <c r="O60" i="64"/>
  <c r="N60" i="64"/>
  <c r="R60" i="64"/>
  <c r="K60" i="64"/>
  <c r="J72" i="64"/>
  <c r="U72" i="64"/>
  <c r="I72" i="64"/>
  <c r="W72" i="64"/>
  <c r="H72" i="64"/>
  <c r="M72" i="64"/>
  <c r="G72" i="64"/>
  <c r="T72" i="64"/>
  <c r="K72" i="64"/>
  <c r="S72" i="64"/>
  <c r="N72" i="64"/>
  <c r="X72" i="64"/>
  <c r="V72" i="64"/>
  <c r="O72" i="64"/>
  <c r="R72" i="64"/>
  <c r="Q72" i="64"/>
  <c r="P72" i="64"/>
  <c r="L72" i="64"/>
  <c r="S73" i="64"/>
  <c r="R73" i="64"/>
  <c r="Q73" i="64"/>
  <c r="P73" i="64"/>
  <c r="O73" i="64"/>
  <c r="N73" i="64"/>
  <c r="K73" i="64"/>
  <c r="M73" i="64"/>
  <c r="L73" i="64"/>
  <c r="J73" i="64"/>
  <c r="I73" i="64"/>
  <c r="H73" i="64"/>
  <c r="G73" i="64"/>
  <c r="G86" i="64" s="1"/>
  <c r="S75" i="64"/>
  <c r="R75" i="64"/>
  <c r="Q75" i="64"/>
  <c r="P75" i="64"/>
  <c r="O75" i="64"/>
  <c r="N75" i="64"/>
  <c r="M75" i="64"/>
  <c r="L75" i="64"/>
  <c r="K75" i="64"/>
  <c r="J75" i="64"/>
  <c r="I75" i="64"/>
  <c r="S76" i="64"/>
  <c r="R76" i="64"/>
  <c r="Q76" i="64"/>
  <c r="P76" i="64"/>
  <c r="O76" i="64"/>
  <c r="N76" i="64"/>
  <c r="M76" i="64"/>
  <c r="K76" i="64"/>
  <c r="L76" i="64"/>
  <c r="J76" i="64"/>
  <c r="H74" i="64"/>
  <c r="R74" i="64"/>
  <c r="O74" i="64"/>
  <c r="N74" i="64"/>
  <c r="S74" i="64"/>
  <c r="Q74" i="64"/>
  <c r="P74" i="64"/>
  <c r="L74" i="64"/>
  <c r="I74" i="64"/>
  <c r="K74" i="64"/>
  <c r="M74" i="64"/>
  <c r="J74" i="64"/>
  <c r="O31" i="64"/>
  <c r="N31" i="64"/>
  <c r="M31" i="64"/>
  <c r="L31" i="64"/>
  <c r="K31" i="64"/>
  <c r="J31" i="64"/>
  <c r="I31" i="64"/>
  <c r="H31" i="64"/>
  <c r="G31" i="64"/>
  <c r="R31" i="64"/>
  <c r="P31" i="64"/>
  <c r="S31" i="64"/>
  <c r="Q31" i="64"/>
  <c r="K32" i="64"/>
  <c r="L32" i="64"/>
  <c r="M32" i="64"/>
  <c r="N32" i="64"/>
  <c r="S32" i="64"/>
  <c r="O32" i="64"/>
  <c r="J32" i="64"/>
  <c r="P32" i="64"/>
  <c r="R32" i="64"/>
  <c r="H32" i="64"/>
  <c r="Q32" i="64"/>
  <c r="I32" i="64"/>
  <c r="Q30" i="64"/>
  <c r="N30" i="64"/>
  <c r="M30" i="64"/>
  <c r="L30" i="64"/>
  <c r="K30" i="64"/>
  <c r="G30" i="64"/>
  <c r="H30" i="64"/>
  <c r="I30" i="64"/>
  <c r="P30" i="64"/>
  <c r="O30" i="64"/>
  <c r="R30" i="64"/>
  <c r="J30" i="64"/>
  <c r="S30" i="64"/>
  <c r="K33" i="64"/>
  <c r="M33" i="64"/>
  <c r="N33" i="64"/>
  <c r="P33" i="64"/>
  <c r="J33" i="64"/>
  <c r="L33" i="64"/>
  <c r="O33" i="64"/>
  <c r="S33" i="64"/>
  <c r="I33" i="64"/>
  <c r="Q33" i="64"/>
  <c r="R33" i="64"/>
  <c r="Q10" i="64"/>
  <c r="R10" i="64"/>
  <c r="L10" i="64"/>
  <c r="M10" i="64"/>
  <c r="N10" i="64"/>
  <c r="O10" i="64"/>
  <c r="P10" i="64"/>
  <c r="K10" i="64"/>
  <c r="S10" i="64"/>
  <c r="O58" i="64"/>
  <c r="S58" i="64"/>
  <c r="N58" i="64"/>
  <c r="R58" i="64"/>
  <c r="M58" i="64"/>
  <c r="K58" i="64"/>
  <c r="L58" i="64"/>
  <c r="Q58" i="64"/>
  <c r="P58" i="64"/>
  <c r="Q9" i="64"/>
  <c r="K9" i="64"/>
  <c r="S9" i="64"/>
  <c r="R9" i="64"/>
  <c r="O9" i="64"/>
  <c r="M9" i="64"/>
  <c r="P9" i="64"/>
  <c r="N9" i="64"/>
  <c r="L9" i="64"/>
  <c r="M56" i="64"/>
  <c r="G56" i="64"/>
  <c r="R56" i="64"/>
  <c r="L56" i="64"/>
  <c r="S56" i="64"/>
  <c r="N56" i="64"/>
  <c r="K56" i="64"/>
  <c r="O56" i="64"/>
  <c r="P56" i="64"/>
  <c r="Q56" i="64"/>
  <c r="N57" i="64"/>
  <c r="L57" i="64"/>
  <c r="S57" i="64"/>
  <c r="O57" i="64"/>
  <c r="Q57" i="64"/>
  <c r="P57" i="64"/>
  <c r="M57" i="64"/>
  <c r="K57" i="64"/>
  <c r="R57" i="64"/>
  <c r="N59" i="64"/>
  <c r="M59" i="64"/>
  <c r="P59" i="64"/>
  <c r="O59" i="64"/>
  <c r="Q59" i="64"/>
  <c r="S59" i="64"/>
  <c r="R59" i="64"/>
  <c r="K59" i="64"/>
  <c r="L59" i="64"/>
  <c r="G200" i="61"/>
  <c r="AF176" i="61"/>
  <c r="F200" i="61"/>
  <c r="Z3" i="59"/>
  <c r="I94" i="62"/>
  <c r="I90" i="62" s="1"/>
  <c r="F94" i="62"/>
  <c r="F79" i="62"/>
  <c r="G79" i="62"/>
  <c r="G75" i="62" s="1"/>
  <c r="L5" i="59"/>
  <c r="E94" i="62"/>
  <c r="E91" i="62"/>
  <c r="D82" i="61"/>
  <c r="E83" i="62"/>
  <c r="E80" i="62" s="1"/>
  <c r="E22" i="62"/>
  <c r="E175" i="61"/>
  <c r="E180" i="61"/>
  <c r="F175" i="61"/>
  <c r="I196" i="64"/>
  <c r="AF171" i="61"/>
  <c r="D175" i="61"/>
  <c r="D180" i="61"/>
  <c r="G194" i="64"/>
  <c r="G207" i="64" s="1"/>
  <c r="F64" i="62" s="1"/>
  <c r="G170" i="61"/>
  <c r="F185" i="61"/>
  <c r="G180" i="61"/>
  <c r="G185" i="61"/>
  <c r="F170" i="61"/>
  <c r="E185" i="61"/>
  <c r="E170" i="61"/>
  <c r="D185" i="61"/>
  <c r="AF177" i="61"/>
  <c r="AF179" i="61"/>
  <c r="Z5" i="59"/>
  <c r="T56" i="62" s="1"/>
  <c r="J197" i="64"/>
  <c r="J195" i="64"/>
  <c r="I57" i="62"/>
  <c r="I56" i="62" s="1"/>
  <c r="J194" i="64"/>
  <c r="I194" i="64"/>
  <c r="G175" i="61"/>
  <c r="H194" i="64"/>
  <c r="G57" i="62"/>
  <c r="G56" i="62" s="1"/>
  <c r="D170" i="61"/>
  <c r="I96" i="62"/>
  <c r="I95" i="62" s="1"/>
  <c r="F98" i="62"/>
  <c r="S98" i="62" s="1"/>
  <c r="F57" i="62"/>
  <c r="H96" i="62"/>
  <c r="H95" i="62" s="1"/>
  <c r="H57" i="62"/>
  <c r="H56" i="62" s="1"/>
  <c r="AF174" i="61"/>
  <c r="J196" i="64"/>
  <c r="AF173" i="61"/>
  <c r="AF172" i="61"/>
  <c r="F199" i="61"/>
  <c r="G199" i="61"/>
  <c r="F180" i="61"/>
  <c r="H195" i="64"/>
  <c r="I195" i="64"/>
  <c r="F97" i="62"/>
  <c r="S97" i="62" s="1"/>
  <c r="I48" i="62"/>
  <c r="I47" i="62" s="1"/>
  <c r="E199" i="61"/>
  <c r="D199" i="61"/>
  <c r="E57" i="62"/>
  <c r="J149" i="64"/>
  <c r="F92" i="62"/>
  <c r="D198" i="61"/>
  <c r="E103" i="61"/>
  <c r="D93" i="61"/>
  <c r="G198" i="61"/>
  <c r="AD97" i="61"/>
  <c r="AD102" i="61"/>
  <c r="G93" i="61"/>
  <c r="E88" i="61"/>
  <c r="E93" i="61"/>
  <c r="E98" i="61"/>
  <c r="E108" i="61"/>
  <c r="F88" i="62"/>
  <c r="F93" i="61"/>
  <c r="F98" i="61"/>
  <c r="F103" i="61"/>
  <c r="F89" i="62"/>
  <c r="G108" i="61"/>
  <c r="AD89" i="61"/>
  <c r="F198" i="61"/>
  <c r="D88" i="61"/>
  <c r="D108" i="61"/>
  <c r="AD110" i="61"/>
  <c r="D103" i="61"/>
  <c r="G98" i="61"/>
  <c r="AD101" i="61"/>
  <c r="H87" i="62"/>
  <c r="AD94" i="61"/>
  <c r="AD99" i="61"/>
  <c r="H89" i="62"/>
  <c r="H88" i="62"/>
  <c r="E88" i="62"/>
  <c r="E87" i="62"/>
  <c r="AD95" i="61"/>
  <c r="J151" i="64"/>
  <c r="I87" i="62"/>
  <c r="F87" i="62"/>
  <c r="AD104" i="61"/>
  <c r="AD91" i="61"/>
  <c r="AD96" i="61"/>
  <c r="AD106" i="61"/>
  <c r="D98" i="61"/>
  <c r="I89" i="62"/>
  <c r="H31" i="62"/>
  <c r="H30" i="62" s="1"/>
  <c r="G88" i="62"/>
  <c r="F31" i="62"/>
  <c r="F30" i="62" s="1"/>
  <c r="I88" i="62"/>
  <c r="E89" i="62"/>
  <c r="E31" i="62"/>
  <c r="F88" i="61"/>
  <c r="AD92" i="61"/>
  <c r="AD100" i="61"/>
  <c r="AD105" i="61"/>
  <c r="F108" i="61"/>
  <c r="AD111" i="61"/>
  <c r="G87" i="62"/>
  <c r="I86" i="62"/>
  <c r="I31" i="62"/>
  <c r="I30" i="62" s="1"/>
  <c r="F86" i="62"/>
  <c r="H86" i="62"/>
  <c r="E198" i="61"/>
  <c r="G89" i="62"/>
  <c r="G148" i="64"/>
  <c r="G86" i="62"/>
  <c r="G31" i="62"/>
  <c r="G30" i="62" s="1"/>
  <c r="I150" i="64"/>
  <c r="AD90" i="61"/>
  <c r="G88" i="61"/>
  <c r="G103" i="61"/>
  <c r="I10" i="64"/>
  <c r="J13" i="64"/>
  <c r="J10" i="64"/>
  <c r="G10" i="64"/>
  <c r="H10" i="64"/>
  <c r="I9" i="64"/>
  <c r="J9" i="64"/>
  <c r="G9" i="64"/>
  <c r="H9" i="64"/>
  <c r="D25" i="61"/>
  <c r="D10" i="61"/>
  <c r="E5" i="61"/>
  <c r="G10" i="61"/>
  <c r="D20" i="61"/>
  <c r="E20" i="61"/>
  <c r="E74" i="62"/>
  <c r="F74" i="62"/>
  <c r="F5" i="61"/>
  <c r="H11" i="64"/>
  <c r="E4" i="62"/>
  <c r="I11" i="64"/>
  <c r="G20" i="61"/>
  <c r="F10" i="61"/>
  <c r="E10" i="61"/>
  <c r="E73" i="62"/>
  <c r="H73" i="62"/>
  <c r="AA7" i="61"/>
  <c r="AA18" i="61"/>
  <c r="G5" i="61"/>
  <c r="H72" i="62"/>
  <c r="AA14" i="61"/>
  <c r="AA24" i="61"/>
  <c r="E25" i="61"/>
  <c r="G4" i="62"/>
  <c r="G3" i="62" s="1"/>
  <c r="G72" i="62"/>
  <c r="G74" i="62"/>
  <c r="AA8" i="61"/>
  <c r="H74" i="62"/>
  <c r="AA13" i="61"/>
  <c r="AA23" i="61"/>
  <c r="AA27" i="61"/>
  <c r="G71" i="62"/>
  <c r="AA12" i="61"/>
  <c r="AA19" i="61"/>
  <c r="AA22" i="61"/>
  <c r="AA28" i="61"/>
  <c r="G73" i="62"/>
  <c r="J12" i="64"/>
  <c r="F72" i="62"/>
  <c r="I12" i="64"/>
  <c r="I72" i="62"/>
  <c r="I4" i="62"/>
  <c r="I3" i="62" s="1"/>
  <c r="F73" i="62"/>
  <c r="I74" i="62"/>
  <c r="D5" i="61"/>
  <c r="H71" i="62"/>
  <c r="AA9" i="61"/>
  <c r="H4" i="62"/>
  <c r="H3" i="62" s="1"/>
  <c r="F4" i="62"/>
  <c r="F3" i="62" s="1"/>
  <c r="F71" i="62"/>
  <c r="F20" i="61"/>
  <c r="AA17" i="61"/>
  <c r="E71" i="62"/>
  <c r="E72" i="62"/>
  <c r="I73" i="62"/>
  <c r="J11" i="64"/>
  <c r="E48" i="62"/>
  <c r="H48" i="62"/>
  <c r="H47" i="62" s="1"/>
  <c r="G48" i="62"/>
  <c r="G47" i="62" s="1"/>
  <c r="D77" i="61"/>
  <c r="E77" i="61"/>
  <c r="G77" i="61"/>
  <c r="E62" i="61"/>
  <c r="G67" i="61"/>
  <c r="E67" i="61"/>
  <c r="F67" i="61"/>
  <c r="D67" i="61"/>
  <c r="F77" i="61"/>
  <c r="F62" i="61"/>
  <c r="G62" i="61"/>
  <c r="F81" i="62"/>
  <c r="S81" i="62" s="1"/>
  <c r="D72" i="61"/>
  <c r="D62" i="61"/>
  <c r="F48" i="62"/>
  <c r="F47" i="62" s="1"/>
  <c r="H91" i="62"/>
  <c r="I59" i="64"/>
  <c r="I57" i="64"/>
  <c r="J59" i="64"/>
  <c r="D56" i="61"/>
  <c r="Q56" i="61" s="1"/>
  <c r="D197" i="61"/>
  <c r="I56" i="64"/>
  <c r="H57" i="64"/>
  <c r="J57" i="64"/>
  <c r="G31" i="61"/>
  <c r="D36" i="61"/>
  <c r="J58" i="64"/>
  <c r="H58" i="64"/>
  <c r="J60" i="64"/>
  <c r="J56" i="64"/>
  <c r="H56" i="64"/>
  <c r="G195" i="61"/>
  <c r="I58" i="64"/>
  <c r="H13" i="62"/>
  <c r="H12" i="62" s="1"/>
  <c r="G194" i="61"/>
  <c r="D194" i="61"/>
  <c r="I13" i="62"/>
  <c r="I12" i="62" s="1"/>
  <c r="E194" i="61"/>
  <c r="G95" i="62"/>
  <c r="F13" i="62"/>
  <c r="H75" i="62"/>
  <c r="F194" i="61"/>
  <c r="E36" i="61"/>
  <c r="F195" i="61"/>
  <c r="G36" i="61"/>
  <c r="G13" i="62"/>
  <c r="G12" i="62" s="1"/>
  <c r="I75" i="62"/>
  <c r="D41" i="61"/>
  <c r="D195" i="61"/>
  <c r="F31" i="61"/>
  <c r="G90" i="62"/>
  <c r="D51" i="61"/>
  <c r="E77" i="62"/>
  <c r="E13" i="62"/>
  <c r="E31" i="61"/>
  <c r="E195" i="61"/>
  <c r="F36" i="61"/>
  <c r="S88" i="62" l="1"/>
  <c r="S89" i="62"/>
  <c r="S86" i="62"/>
  <c r="S87" i="62"/>
  <c r="Q103" i="61"/>
  <c r="Q108" i="61"/>
  <c r="Q98" i="61"/>
  <c r="AD98" i="61" s="1"/>
  <c r="Q93" i="61"/>
  <c r="AD93" i="61" s="1"/>
  <c r="Q88" i="61"/>
  <c r="S31" i="62"/>
  <c r="S30" i="62" s="1"/>
  <c r="Q185" i="61"/>
  <c r="AF185" i="61" s="1"/>
  <c r="J70" i="64"/>
  <c r="H70" i="64"/>
  <c r="F12" i="62"/>
  <c r="S12" i="62" s="1"/>
  <c r="S13" i="62"/>
  <c r="I70" i="64"/>
  <c r="H86" i="64"/>
  <c r="S79" i="62"/>
  <c r="R70" i="64"/>
  <c r="K70" i="64"/>
  <c r="M70" i="64"/>
  <c r="P70" i="64"/>
  <c r="Q70" i="64"/>
  <c r="O70" i="64"/>
  <c r="S70" i="64"/>
  <c r="I86" i="64"/>
  <c r="L70" i="64"/>
  <c r="J86" i="64"/>
  <c r="N70" i="64"/>
  <c r="L86" i="64"/>
  <c r="M86" i="64"/>
  <c r="K86" i="64"/>
  <c r="N86" i="64"/>
  <c r="P86" i="64"/>
  <c r="O86" i="64"/>
  <c r="Q86" i="64"/>
  <c r="R86" i="64"/>
  <c r="S86" i="64"/>
  <c r="Q170" i="61"/>
  <c r="AF170" i="61" s="1"/>
  <c r="F56" i="62"/>
  <c r="S56" i="62" s="1"/>
  <c r="S57" i="62"/>
  <c r="S96" i="62"/>
  <c r="S111" i="62" s="1"/>
  <c r="D200" i="61"/>
  <c r="Q180" i="61"/>
  <c r="AF180" i="61" s="1"/>
  <c r="Q175" i="61"/>
  <c r="E30" i="62"/>
  <c r="Q207" i="64"/>
  <c r="K207" i="64"/>
  <c r="M207" i="64"/>
  <c r="Q51" i="61"/>
  <c r="Q31" i="61"/>
  <c r="Q36" i="61"/>
  <c r="S207" i="64"/>
  <c r="R64" i="62" s="1"/>
  <c r="Q77" i="61"/>
  <c r="S92" i="62"/>
  <c r="J207" i="64"/>
  <c r="H207" i="64"/>
  <c r="I207" i="64"/>
  <c r="F62" i="62"/>
  <c r="L207" i="64"/>
  <c r="N207" i="64"/>
  <c r="R207" i="64"/>
  <c r="O207" i="64"/>
  <c r="P207" i="64"/>
  <c r="Q67" i="61"/>
  <c r="E95" i="62"/>
  <c r="E47" i="62"/>
  <c r="S48" i="62"/>
  <c r="S47" i="62" s="1"/>
  <c r="I70" i="62"/>
  <c r="S91" i="62"/>
  <c r="K28" i="64"/>
  <c r="Q28" i="64"/>
  <c r="S94" i="62"/>
  <c r="S72" i="62"/>
  <c r="S74" i="62"/>
  <c r="S71" i="62"/>
  <c r="S73" i="62"/>
  <c r="F75" i="62"/>
  <c r="S75" i="62" s="1"/>
  <c r="S49" i="64"/>
  <c r="J49" i="64"/>
  <c r="R49" i="64"/>
  <c r="O49" i="64"/>
  <c r="P49" i="64"/>
  <c r="I49" i="64"/>
  <c r="H49" i="64"/>
  <c r="G49" i="64"/>
  <c r="K49" i="64"/>
  <c r="L49" i="64"/>
  <c r="M49" i="64"/>
  <c r="N49" i="64"/>
  <c r="L28" i="64"/>
  <c r="Q49" i="64"/>
  <c r="N28" i="64"/>
  <c r="P28" i="64"/>
  <c r="M28" i="64"/>
  <c r="O28" i="64"/>
  <c r="R28" i="64"/>
  <c r="S28" i="64"/>
  <c r="G28" i="64"/>
  <c r="H28" i="64"/>
  <c r="J28" i="64"/>
  <c r="I28" i="64"/>
  <c r="D164" i="61"/>
  <c r="E21" i="62"/>
  <c r="S4" i="62"/>
  <c r="S3" i="62" s="1"/>
  <c r="E3" i="62"/>
  <c r="I101" i="62"/>
  <c r="E164" i="61"/>
  <c r="E163" i="61" s="1"/>
  <c r="G164" i="61"/>
  <c r="G163" i="61" s="1"/>
  <c r="AF186" i="61"/>
  <c r="Q201" i="61"/>
  <c r="C201" i="61" s="1"/>
  <c r="F164" i="61"/>
  <c r="F163" i="61" s="1"/>
  <c r="G147" i="64"/>
  <c r="G161" i="64" s="1"/>
  <c r="F38" i="62" s="1"/>
  <c r="I147" i="64"/>
  <c r="D61" i="61"/>
  <c r="H149" i="64"/>
  <c r="I149" i="64"/>
  <c r="H147" i="64"/>
  <c r="J150" i="64"/>
  <c r="I148" i="64"/>
  <c r="H148" i="64"/>
  <c r="J148" i="64"/>
  <c r="F90" i="62"/>
  <c r="E90" i="62"/>
  <c r="E85" i="62"/>
  <c r="F196" i="61"/>
  <c r="R163" i="61"/>
  <c r="A190" i="64"/>
  <c r="E30" i="61"/>
  <c r="E29" i="61" s="1"/>
  <c r="G30" i="61"/>
  <c r="G29" i="61" s="1"/>
  <c r="D30" i="61"/>
  <c r="D29" i="61" s="1"/>
  <c r="F30" i="61"/>
  <c r="F29" i="61" s="1"/>
  <c r="F95" i="62"/>
  <c r="S95" i="62" s="1"/>
  <c r="Q199" i="61"/>
  <c r="E56" i="62"/>
  <c r="F82" i="61"/>
  <c r="E87" i="61"/>
  <c r="E86" i="61" s="1"/>
  <c r="E101" i="62"/>
  <c r="E104" i="62"/>
  <c r="F104" i="62"/>
  <c r="F87" i="61"/>
  <c r="F86" i="61" s="1"/>
  <c r="D87" i="61"/>
  <c r="D86" i="61" s="1"/>
  <c r="AD108" i="61"/>
  <c r="H103" i="62"/>
  <c r="E103" i="62"/>
  <c r="AD109" i="61"/>
  <c r="I85" i="62"/>
  <c r="H85" i="62"/>
  <c r="G103" i="62"/>
  <c r="F85" i="62"/>
  <c r="F102" i="62"/>
  <c r="I103" i="62"/>
  <c r="AD88" i="61"/>
  <c r="G87" i="61"/>
  <c r="Q198" i="61"/>
  <c r="C198" i="61" s="1"/>
  <c r="G85" i="62"/>
  <c r="AD107" i="61"/>
  <c r="AD103" i="61"/>
  <c r="G4" i="61"/>
  <c r="G3" i="61" s="1"/>
  <c r="E4" i="61"/>
  <c r="E3" i="61" s="1"/>
  <c r="H70" i="62"/>
  <c r="D4" i="61"/>
  <c r="D3" i="61" s="1"/>
  <c r="E70" i="62"/>
  <c r="F4" i="61"/>
  <c r="F3" i="61" s="1"/>
  <c r="H101" i="62"/>
  <c r="G70" i="62"/>
  <c r="AA25" i="61"/>
  <c r="AA26" i="61"/>
  <c r="Q15" i="61"/>
  <c r="AA16" i="61"/>
  <c r="AA6" i="61"/>
  <c r="G101" i="62"/>
  <c r="AA11" i="61"/>
  <c r="AA10" i="61"/>
  <c r="F103" i="62"/>
  <c r="Q20" i="61"/>
  <c r="AA20" i="61" s="1"/>
  <c r="AA21" i="61"/>
  <c r="F70" i="62"/>
  <c r="E82" i="61"/>
  <c r="G84" i="62"/>
  <c r="I84" i="62"/>
  <c r="I104" i="62" s="1"/>
  <c r="G82" i="61"/>
  <c r="Q202" i="61"/>
  <c r="C202" i="61" s="1"/>
  <c r="F27" i="62"/>
  <c r="F101" i="62"/>
  <c r="F80" i="62"/>
  <c r="H90" i="62"/>
  <c r="Q195" i="61"/>
  <c r="C195" i="61" s="1"/>
  <c r="C206" i="61" s="1"/>
  <c r="E75" i="62"/>
  <c r="E12" i="62"/>
  <c r="E102" i="62"/>
  <c r="F36" i="62" l="1"/>
  <c r="S85" i="62"/>
  <c r="G86" i="61"/>
  <c r="Q86" i="61" s="1"/>
  <c r="Q87" i="61"/>
  <c r="L64" i="62"/>
  <c r="J64" i="62"/>
  <c r="J62" i="62" s="1"/>
  <c r="I64" i="62"/>
  <c r="I62" i="62" s="1"/>
  <c r="P64" i="62"/>
  <c r="P62" i="62" s="1"/>
  <c r="H64" i="62"/>
  <c r="H62" i="62" s="1"/>
  <c r="O64" i="62"/>
  <c r="O62" i="62" s="1"/>
  <c r="N64" i="62"/>
  <c r="N62" i="62" s="1"/>
  <c r="R62" i="62"/>
  <c r="Q64" i="62"/>
  <c r="Q62" i="62" s="1"/>
  <c r="G64" i="62"/>
  <c r="G62" i="62" s="1"/>
  <c r="M64" i="62"/>
  <c r="M62" i="62" s="1"/>
  <c r="L62" i="62"/>
  <c r="K64" i="62"/>
  <c r="K62" i="62" s="1"/>
  <c r="S103" i="62"/>
  <c r="S101" i="62"/>
  <c r="Q87" i="64"/>
  <c r="P20" i="62" s="1"/>
  <c r="P18" i="62" s="1"/>
  <c r="D163" i="61"/>
  <c r="Q163" i="61" s="1"/>
  <c r="AF163" i="61" s="1"/>
  <c r="Q164" i="61"/>
  <c r="R164" i="61" s="1"/>
  <c r="P87" i="64"/>
  <c r="O20" i="62" s="1"/>
  <c r="O18" i="62" s="1"/>
  <c r="Q30" i="61"/>
  <c r="R30" i="61" s="1"/>
  <c r="M87" i="64"/>
  <c r="L20" i="62" s="1"/>
  <c r="L18" i="62" s="1"/>
  <c r="L87" i="64"/>
  <c r="K20" i="62" s="1"/>
  <c r="K18" i="62" s="1"/>
  <c r="S87" i="64"/>
  <c r="R20" i="62" s="1"/>
  <c r="R18" i="62" s="1"/>
  <c r="N87" i="64"/>
  <c r="M20" i="62" s="1"/>
  <c r="M18" i="62" s="1"/>
  <c r="K87" i="64"/>
  <c r="J20" i="62" s="1"/>
  <c r="J18" i="62" s="1"/>
  <c r="O87" i="64"/>
  <c r="N20" i="62" s="1"/>
  <c r="N18" i="62" s="1"/>
  <c r="D60" i="61"/>
  <c r="R87" i="64"/>
  <c r="Q20" i="62" s="1"/>
  <c r="Q18" i="62" s="1"/>
  <c r="K50" i="64"/>
  <c r="J11" i="62" s="1"/>
  <c r="J9" i="62" s="1"/>
  <c r="O50" i="64"/>
  <c r="N11" i="62" s="1"/>
  <c r="N9" i="62" s="1"/>
  <c r="Q196" i="61"/>
  <c r="S70" i="62"/>
  <c r="S106" i="62" s="1"/>
  <c r="Q50" i="64"/>
  <c r="P11" i="62" s="1"/>
  <c r="P9" i="62" s="1"/>
  <c r="M50" i="64"/>
  <c r="L11" i="62" s="1"/>
  <c r="L9" i="62" s="1"/>
  <c r="R50" i="64"/>
  <c r="Q11" i="62" s="1"/>
  <c r="Q9" i="62" s="1"/>
  <c r="S50" i="64"/>
  <c r="R11" i="62" s="1"/>
  <c r="R9" i="62" s="1"/>
  <c r="I50" i="64"/>
  <c r="H11" i="62" s="1"/>
  <c r="H9" i="62" s="1"/>
  <c r="J50" i="64"/>
  <c r="I11" i="62" s="1"/>
  <c r="I9" i="62" s="1"/>
  <c r="P50" i="64"/>
  <c r="O11" i="62" s="1"/>
  <c r="O9" i="62" s="1"/>
  <c r="H50" i="64"/>
  <c r="G11" i="62" s="1"/>
  <c r="L50" i="64"/>
  <c r="K11" i="62" s="1"/>
  <c r="K9" i="62" s="1"/>
  <c r="N50" i="64"/>
  <c r="M11" i="62" s="1"/>
  <c r="M9" i="62" s="1"/>
  <c r="G50" i="64"/>
  <c r="F11" i="62" s="1"/>
  <c r="F9" i="62" s="1"/>
  <c r="AA15" i="61"/>
  <c r="Q4" i="61"/>
  <c r="Q3" i="61" s="1"/>
  <c r="AF175" i="61"/>
  <c r="J147" i="64"/>
  <c r="J161" i="64" s="1"/>
  <c r="I38" i="62" s="1"/>
  <c r="I161" i="64"/>
  <c r="H38" i="62" s="1"/>
  <c r="H161" i="64"/>
  <c r="G38" i="62" s="1"/>
  <c r="G36" i="62" s="1"/>
  <c r="G104" i="62"/>
  <c r="C199" i="61"/>
  <c r="G196" i="61"/>
  <c r="E196" i="61"/>
  <c r="D196" i="61"/>
  <c r="D193" i="61" s="1"/>
  <c r="G41" i="28"/>
  <c r="F41" i="28"/>
  <c r="H41" i="28"/>
  <c r="G87" i="64"/>
  <c r="F72" i="61"/>
  <c r="F61" i="61" s="1"/>
  <c r="F60" i="61" s="1"/>
  <c r="S109" i="62"/>
  <c r="F100" i="62"/>
  <c r="AA5" i="61"/>
  <c r="I87" i="64"/>
  <c r="G82" i="62"/>
  <c r="G22" i="62"/>
  <c r="I82" i="62"/>
  <c r="I22" i="62"/>
  <c r="I21" i="62" s="1"/>
  <c r="E72" i="61"/>
  <c r="E197" i="61"/>
  <c r="G197" i="61"/>
  <c r="G72" i="61"/>
  <c r="G61" i="61" s="1"/>
  <c r="G60" i="61" s="1"/>
  <c r="G27" i="62"/>
  <c r="J87" i="64"/>
  <c r="I20" i="62" s="1"/>
  <c r="H87" i="64"/>
  <c r="H27" i="62"/>
  <c r="I27" i="62"/>
  <c r="S90" i="62"/>
  <c r="S110" i="62" s="1"/>
  <c r="E100" i="62"/>
  <c r="Q29" i="61"/>
  <c r="S38" i="62" l="1"/>
  <c r="S27" i="62"/>
  <c r="Q72" i="61"/>
  <c r="E61" i="61"/>
  <c r="G20" i="62"/>
  <c r="G18" i="62" s="1"/>
  <c r="I18" i="62"/>
  <c r="H20" i="62"/>
  <c r="H18" i="62" s="1"/>
  <c r="F20" i="62"/>
  <c r="F18" i="62" s="1"/>
  <c r="R4" i="61"/>
  <c r="G21" i="62"/>
  <c r="H36" i="62"/>
  <c r="I36" i="62"/>
  <c r="C196" i="61"/>
  <c r="C208" i="61" s="1"/>
  <c r="G193" i="61"/>
  <c r="E193" i="61"/>
  <c r="G9" i="62"/>
  <c r="H82" i="62"/>
  <c r="S82" i="62" s="1"/>
  <c r="H84" i="62"/>
  <c r="S84" i="62" s="1"/>
  <c r="AE137" i="61"/>
  <c r="AF164" i="61"/>
  <c r="AD87" i="61"/>
  <c r="F197" i="61"/>
  <c r="F193" i="61" s="1"/>
  <c r="H22" i="62"/>
  <c r="H21" i="62" s="1"/>
  <c r="AD86" i="61"/>
  <c r="AA4" i="61"/>
  <c r="I80" i="62"/>
  <c r="I102" i="62"/>
  <c r="I100" i="62" s="1"/>
  <c r="G80" i="62"/>
  <c r="G102" i="62"/>
  <c r="S36" i="62" l="1"/>
  <c r="S21" i="62"/>
  <c r="S22" i="62"/>
  <c r="S18" i="62"/>
  <c r="S20" i="62"/>
  <c r="E60" i="61"/>
  <c r="Q60" i="61" s="1"/>
  <c r="Q61" i="61"/>
  <c r="H80" i="62"/>
  <c r="S80" i="62" s="1"/>
  <c r="H102" i="62"/>
  <c r="S102" i="62" s="1"/>
  <c r="H104" i="62"/>
  <c r="S104" i="62" s="1"/>
  <c r="R60" i="61"/>
  <c r="A89" i="64" s="1"/>
  <c r="Q197" i="61"/>
  <c r="G100" i="62"/>
  <c r="H100" i="62" l="1"/>
  <c r="S100" i="62" s="1"/>
  <c r="T80" i="62" s="1"/>
  <c r="R82" i="61"/>
  <c r="Q203" i="61"/>
  <c r="C197" i="61"/>
  <c r="C207" i="61" s="1"/>
  <c r="S108" i="62" l="1"/>
  <c r="Q200" i="61"/>
  <c r="C203" i="61"/>
  <c r="R61" i="61"/>
  <c r="Q194" i="61" l="1"/>
  <c r="C194" i="61" s="1"/>
  <c r="C205" i="61" l="1"/>
  <c r="Q193" i="61"/>
  <c r="R194" i="61" s="1"/>
  <c r="R29" i="61"/>
  <c r="A52" i="64" s="1"/>
  <c r="T12" i="62"/>
  <c r="R56" i="61" l="1"/>
  <c r="R195" i="61"/>
  <c r="R197" i="61"/>
  <c r="R203" i="61"/>
  <c r="R199" i="61"/>
  <c r="R202" i="61"/>
  <c r="R201" i="61"/>
  <c r="R196" i="61"/>
  <c r="S107" i="62"/>
  <c r="T95" i="62" l="1"/>
  <c r="T70" i="62"/>
  <c r="T85" i="62"/>
  <c r="T90" i="62"/>
  <c r="T75" i="62"/>
  <c r="L21" i="58"/>
  <c r="M21" i="58"/>
  <c r="D168" i="64" s="1"/>
  <c r="N21" i="58"/>
  <c r="D169" i="64" s="1"/>
  <c r="O21" i="58"/>
  <c r="D170" i="64" s="1"/>
  <c r="P21" i="58"/>
  <c r="D171" i="64" s="1"/>
  <c r="Q21" i="58"/>
  <c r="D172" i="64" s="1"/>
  <c r="AF21" i="58"/>
  <c r="R137" i="61" s="1"/>
  <c r="J172" i="64" l="1"/>
  <c r="O172" i="64"/>
  <c r="K172" i="64"/>
  <c r="P172" i="64"/>
  <c r="Q172" i="64"/>
  <c r="R172" i="64"/>
  <c r="S172" i="64"/>
  <c r="M172" i="64"/>
  <c r="N172" i="64"/>
  <c r="L172" i="64"/>
  <c r="O170" i="64"/>
  <c r="P170" i="64"/>
  <c r="M170" i="64"/>
  <c r="R170" i="64"/>
  <c r="N170" i="64"/>
  <c r="S170" i="64"/>
  <c r="K170" i="64"/>
  <c r="Q170" i="64"/>
  <c r="L170" i="64"/>
  <c r="K169" i="64"/>
  <c r="L169" i="64"/>
  <c r="M169" i="64"/>
  <c r="N169" i="64"/>
  <c r="O169" i="64"/>
  <c r="P169" i="64"/>
  <c r="Q169" i="64"/>
  <c r="R169" i="64"/>
  <c r="S169" i="64"/>
  <c r="L168" i="64"/>
  <c r="M168" i="64"/>
  <c r="N168" i="64"/>
  <c r="O168" i="64"/>
  <c r="P168" i="64"/>
  <c r="Q168" i="64"/>
  <c r="R168" i="64"/>
  <c r="S168" i="64"/>
  <c r="K168" i="64"/>
  <c r="R171" i="64"/>
  <c r="S171" i="64"/>
  <c r="K171" i="64"/>
  <c r="L171" i="64"/>
  <c r="M171" i="64"/>
  <c r="N171" i="64"/>
  <c r="P171" i="64"/>
  <c r="O171" i="64"/>
  <c r="Q171" i="64"/>
  <c r="H170" i="64"/>
  <c r="J170" i="64"/>
  <c r="I170" i="64"/>
  <c r="J169" i="64"/>
  <c r="I169" i="64"/>
  <c r="H169" i="64"/>
  <c r="G169" i="64"/>
  <c r="A165" i="64"/>
  <c r="I168" i="64"/>
  <c r="H168" i="64"/>
  <c r="G168" i="64"/>
  <c r="J168" i="64"/>
  <c r="I171" i="64"/>
  <c r="J171" i="64"/>
  <c r="T47" i="62"/>
  <c r="L187" i="64" l="1"/>
  <c r="O187" i="64"/>
  <c r="N187" i="64"/>
  <c r="P187" i="64"/>
  <c r="M187" i="64"/>
  <c r="J187" i="64"/>
  <c r="I187" i="64"/>
  <c r="K187" i="64"/>
  <c r="R187" i="64"/>
  <c r="S187" i="64"/>
  <c r="Q187" i="64"/>
  <c r="G53" i="62"/>
  <c r="G187" i="64"/>
  <c r="H53" i="62"/>
  <c r="H187" i="64"/>
  <c r="F53" i="62"/>
  <c r="I53" i="62"/>
</calcChain>
</file>

<file path=xl/sharedStrings.xml><?xml version="1.0" encoding="utf-8"?>
<sst xmlns="http://schemas.openxmlformats.org/spreadsheetml/2006/main" count="3959" uniqueCount="1154">
  <si>
    <t>РУКОВОДСТВО по применению расчетной Модели</t>
  </si>
  <si>
    <t>Вкладка</t>
  </si>
  <si>
    <t>Содержание</t>
  </si>
  <si>
    <t>Лист «Население»</t>
  </si>
  <si>
    <t>Статистические и прогнозные данные по численности населения, возрастной структуре, рождаемости, смертности и миграционному приросту.</t>
  </si>
  <si>
    <t>Лист «Статистика»</t>
  </si>
  <si>
    <t>Лист «Перспективное строительство»</t>
  </si>
  <si>
    <t>Перечень строительных площадок и перспективных территорий застройки многоквартирного и индивидуального жилого фонда, бюджетных, общественно-деловых и производственных зданий.</t>
  </si>
  <si>
    <t>Лист «Спрос»</t>
  </si>
  <si>
    <t>Расчет спроса на коммунальные ресурсы</t>
  </si>
  <si>
    <t>Лист «ЦП»</t>
  </si>
  <si>
    <t>Лист «Перечень инв.проектов ТС»</t>
  </si>
  <si>
    <t>Детальные инвестиционные проекты в отношении системы теплоснабжения</t>
  </si>
  <si>
    <t>Лист «Перечень инв.проектов ВС»</t>
  </si>
  <si>
    <t>Детальные инвестиционные проекты в отношении системы водоснабжения</t>
  </si>
  <si>
    <t>Лист «Перечень инв.проектов ВО»</t>
  </si>
  <si>
    <t>Детальные инвестиционные проекты в отношении системы водоотведения</t>
  </si>
  <si>
    <t>Лист «Перечень инв.проектов ЭЭ»</t>
  </si>
  <si>
    <t>Детальные инвестиционные проекты в отношении системы электроснабжения</t>
  </si>
  <si>
    <t>Лист «Перечень инв.проектов ГС»</t>
  </si>
  <si>
    <t>Детальные инвестиционные проекты в отношении системы газоснабжения</t>
  </si>
  <si>
    <t>Лист «Перечень инв.проектов ТКО»</t>
  </si>
  <si>
    <t>Детальные инвестиционные проекты в отношении системы обращения с ТКО</t>
  </si>
  <si>
    <t>Лист «Фин.потребности»</t>
  </si>
  <si>
    <t>Совокупные данные по видам источников финансирования инвестиционных проектов в разрезе коммунальной услуги и РСО</t>
  </si>
  <si>
    <t>Лист «Программа инв. проектов»</t>
  </si>
  <si>
    <t>Совокупные данные по видам источников финансирования в разрезе целей реализации инвестиционных проектов</t>
  </si>
  <si>
    <t>Лист  «Амортизация»</t>
  </si>
  <si>
    <t>Расчет прогнозных амортизационных отчислений при реализации инвестиционных проектов.</t>
  </si>
  <si>
    <t>Лист «Доступность»</t>
  </si>
  <si>
    <t>Расчет прогнозного совокупного платежа населения за коммунальные ресурсы. Осуществляется проверка доступности тарифов на коммунальные услуги для населения.</t>
  </si>
  <si>
    <t>Перечень РСО на территории ГО</t>
  </si>
  <si>
    <t>Наименование</t>
  </si>
  <si>
    <t>Вид регулируемой деятельности</t>
  </si>
  <si>
    <t>Теплоснабжение</t>
  </si>
  <si>
    <t>Электроснабжение</t>
  </si>
  <si>
    <t>№ п/п</t>
  </si>
  <si>
    <t>Наименование объекта</t>
  </si>
  <si>
    <t>Общая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</si>
  <si>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</si>
  <si>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</si>
  <si>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</si>
  <si>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</si>
  <si>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</si>
  <si>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</si>
  <si>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</si>
  <si>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</si>
  <si>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</si>
  <si>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</si>
  <si>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</si>
  <si>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</si>
  <si>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</si>
  <si>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</si>
  <si>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</si>
  <si>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</si>
  <si>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</si>
  <si>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</si>
  <si>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</si>
  <si>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 xml:space="preserve"> 1.20</t>
  </si>
  <si>
    <t xml:space="preserve"> 1.21</t>
  </si>
  <si>
    <t xml:space="preserve"> 1.22</t>
  </si>
  <si>
    <t xml:space="preserve"> 1.23</t>
  </si>
  <si>
    <t xml:space="preserve"> 2.1</t>
  </si>
  <si>
    <t xml:space="preserve"> 2.2</t>
  </si>
  <si>
    <t xml:space="preserve"> 2.3</t>
  </si>
  <si>
    <t xml:space="preserve"> 2.4</t>
  </si>
  <si>
    <t xml:space="preserve"> 2.5</t>
  </si>
  <si>
    <t xml:space="preserve"> 2.6</t>
  </si>
  <si>
    <t xml:space="preserve"> 2.7</t>
  </si>
  <si>
    <t xml:space="preserve"> 2.8</t>
  </si>
  <si>
    <t xml:space="preserve"> 2.9</t>
  </si>
  <si>
    <t>Бюджетные организации</t>
  </si>
  <si>
    <t xml:space="preserve"> 3.1</t>
  </si>
  <si>
    <t xml:space="preserve"> 3.2</t>
  </si>
  <si>
    <t xml:space="preserve"> 3.3</t>
  </si>
  <si>
    <t xml:space="preserve"> 3.4</t>
  </si>
  <si>
    <t xml:space="preserve"> 3.5</t>
  </si>
  <si>
    <t xml:space="preserve"> 3.6</t>
  </si>
  <si>
    <t xml:space="preserve"> 3.7</t>
  </si>
  <si>
    <t xml:space="preserve"> 3.8</t>
  </si>
  <si>
    <t xml:space="preserve"> 3.9</t>
  </si>
  <si>
    <t xml:space="preserve"> 3.10</t>
  </si>
  <si>
    <t xml:space="preserve"> 3.11</t>
  </si>
  <si>
    <t xml:space="preserve"> 3.12</t>
  </si>
  <si>
    <t xml:space="preserve"> 3.13</t>
  </si>
  <si>
    <t>Показатели</t>
  </si>
  <si>
    <t>Ед. изм.</t>
  </si>
  <si>
    <t>Прогнозный показатель среднегодовой численности</t>
  </si>
  <si>
    <t>тыс. чел.</t>
  </si>
  <si>
    <t>Спрос на ТЭ</t>
  </si>
  <si>
    <t>Прирост потребления тепловой энергии, всего</t>
  </si>
  <si>
    <t>Гкал</t>
  </si>
  <si>
    <t>Население</t>
  </si>
  <si>
    <t>Потребление тепловой энергии, всего</t>
  </si>
  <si>
    <t>тыс. Гкал</t>
  </si>
  <si>
    <t>Прочие</t>
  </si>
  <si>
    <t>Спрос на ХВС</t>
  </si>
  <si>
    <t>Потребление холодной воды, всего</t>
  </si>
  <si>
    <r>
      <t>тыс.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</si>
  <si>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Бюджет</t>
  </si>
  <si>
    <t>Прирост холодной воды, всего</t>
  </si>
  <si>
    <t>Спрос на ВО</t>
  </si>
  <si>
    <t>Водоотведение, всего</t>
  </si>
  <si>
    <t>Прирост объёмов водоотведения, всего</t>
  </si>
  <si>
    <t>Потребление электроэнергии</t>
  </si>
  <si>
    <t>ОДЗ и прочие</t>
  </si>
  <si>
    <t>Прирост потребления электроэнергии</t>
  </si>
  <si>
    <t>Спрос на газ</t>
  </si>
  <si>
    <t>Прирост потребления природного газа</t>
  </si>
  <si>
    <t>ТЭЦ, котельные</t>
  </si>
  <si>
    <t>Прирост нагрузки потребления природного газа</t>
  </si>
  <si>
    <r>
      <t>м</t>
    </r>
    <r>
      <rPr>
        <vertAlign val="superscript"/>
        <sz val="10"/>
        <color rgb="FF000000"/>
        <rFont val="Times New Roman"/>
        <family val="1"/>
        <charset val="204"/>
      </rPr>
      <t>3</t>
    </r>
    <r>
      <rPr>
        <sz val="10"/>
        <color rgb="FF000000"/>
        <rFont val="Times New Roman"/>
        <family val="1"/>
        <charset val="204"/>
      </rPr>
      <t>/ч</t>
    </r>
  </si>
  <si>
    <t>-</t>
  </si>
  <si>
    <t>Спрос на ТКО</t>
  </si>
  <si>
    <t>Показатель</t>
  </si>
  <si>
    <t>1.1</t>
  </si>
  <si>
    <t>1.2</t>
  </si>
  <si>
    <t>1.3</t>
  </si>
  <si>
    <t>Гкал/ч</t>
  </si>
  <si>
    <t>2.1</t>
  </si>
  <si>
    <t>ед./км</t>
  </si>
  <si>
    <t>2.2</t>
  </si>
  <si>
    <t>%</t>
  </si>
  <si>
    <t>4.1</t>
  </si>
  <si>
    <t>Показатели степени охвата потребителей приборами учета</t>
  </si>
  <si>
    <t>5.1</t>
  </si>
  <si>
    <t>тыс. м³</t>
  </si>
  <si>
    <t>доля проб питьевой воды, подаваемой с источников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</si>
  <si>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</si>
  <si>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3.1</t>
  </si>
  <si>
    <t>количество перерывов в подаче воды, возникших в результате аварий, повреждений и иных технологических нарушений на объектах централизованной системы холодного водоснабжения, в расчете на протяженность водопроводной сети в год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</si>
  <si>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</si>
  <si>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>4.2</t>
  </si>
  <si>
    <t>кВт·ч/м³</t>
  </si>
  <si>
    <t>6.1</t>
  </si>
  <si>
    <t>Наименование показателя</t>
  </si>
  <si>
    <t>МВт</t>
  </si>
  <si>
    <t>5.2</t>
  </si>
  <si>
    <t>2.3</t>
  </si>
  <si>
    <t>2.4</t>
  </si>
  <si>
    <t>РСО</t>
  </si>
  <si>
    <t>Группа проекта</t>
  </si>
  <si>
    <t>Окупаемость</t>
  </si>
  <si>
    <t>Наименование мероприятия</t>
  </si>
  <si>
    <t>Технические параметры</t>
  </si>
  <si>
    <t>Основание проведения (документ)*</t>
  </si>
  <si>
    <t>Цель проекта</t>
  </si>
  <si>
    <t>Источник инвестиций</t>
  </si>
  <si>
    <t>Срок реализации</t>
  </si>
  <si>
    <t>Объемы финансовых потребностей и капитальных затрат на реализацию мероприятий в прогнозных ценах (без НДС), тыс. руб.</t>
  </si>
  <si>
    <t>Тип объекта</t>
  </si>
  <si>
    <t>ИТОГО</t>
  </si>
  <si>
    <t>Строительство, модернизация и (или) реконструкция объектов централизованных систем водоснабжения в целях подключения объектов капитального строительства абонентов</t>
  </si>
  <si>
    <t>Присоединение новых потребителей</t>
  </si>
  <si>
    <t>Быстроокупаемый проект</t>
  </si>
  <si>
    <t>плата за подключение</t>
  </si>
  <si>
    <t>Сети</t>
  </si>
  <si>
    <t>1.4</t>
  </si>
  <si>
    <t>1.5</t>
  </si>
  <si>
    <t>1.6</t>
  </si>
  <si>
    <t>1.12</t>
  </si>
  <si>
    <t>Объект</t>
  </si>
  <si>
    <t>Среднеокупаемый проект</t>
  </si>
  <si>
    <t>бюджеты различных уровней</t>
  </si>
  <si>
    <t>Повышение качества и надежности предоставления коммунальной услуги</t>
  </si>
  <si>
    <t>Долгоокупаемый проект</t>
  </si>
  <si>
    <t>собственные/кредитные средства</t>
  </si>
  <si>
    <t>Улучшение экологической ситуации</t>
  </si>
  <si>
    <t>Энергосбережение и повышение энергетической эффективности</t>
  </si>
  <si>
    <t>Повышение безопасности и улучшение производственных условий</t>
  </si>
  <si>
    <t>ИТОГО:</t>
  </si>
  <si>
    <t>Строительство, модернизация и (или) реконструкция объектов централизованных систем водоотведения в целях подключения объектов капитального строительства абонентов</t>
  </si>
  <si>
    <t>КНС</t>
  </si>
  <si>
    <t>СИСТЕМА ТЕПЛОСНАБЖЕНИЯ</t>
  </si>
  <si>
    <t>Окупаемость проекта</t>
  </si>
  <si>
    <t>Мероприятие</t>
  </si>
  <si>
    <t>Ожидаемый эффект</t>
  </si>
  <si>
    <t>Итого</t>
  </si>
  <si>
    <t>1</t>
  </si>
  <si>
    <t>Строительство, модернизация и (или) реконструкция объектов централизованных систем теплоснабжения в целях подключения объектов капитального строительства абонентов</t>
  </si>
  <si>
    <t>2</t>
  </si>
  <si>
    <t>Строительство, модернизация и (или) реконструкция объектов централизованных систем теплоснабжения не связанных с подключением новых объектов капитального строительства абонентов</t>
  </si>
  <si>
    <t>Основание (утвержденный документ)</t>
  </si>
  <si>
    <t>Сроки реализации</t>
  </si>
  <si>
    <t>Строительство, модернизация и (или) реконструкция объектов централизованных систем газоснабжения в целях подключения объектов капитального строительства абонентов</t>
  </si>
  <si>
    <t>Газоснабжение и газификация новых территорий</t>
  </si>
  <si>
    <t>Повышение надежности предоставления коммунальной услуги</t>
  </si>
  <si>
    <t>Строительство, модернизация и (или) реконструкция объектов централизованных систем газоснабжения не связанных с подключением объектов капитального строительства абонентов</t>
  </si>
  <si>
    <t>Основание проведения (документ)</t>
  </si>
  <si>
    <t>Строительство, модернизация и (или) реконструкция объектов электроснабжения в целях осуществления технологического присоединения объектов капитального строительства абонентов</t>
  </si>
  <si>
    <t>Наименование организации</t>
  </si>
  <si>
    <t>Финансовые потребности, без НДС, тыс. руб.</t>
  </si>
  <si>
    <t>ВСЕГО</t>
  </si>
  <si>
    <t>Система теплоснабжения</t>
  </si>
  <si>
    <t>ТС</t>
  </si>
  <si>
    <t>Потребность в капитальных вложениях, в т.ч.:</t>
  </si>
  <si>
    <t>Изменение совокупных эксплуатационных затрат, в т.ч.:</t>
  </si>
  <si>
    <t>снижение эксплуатационных затрат за счет эффектов от экономии</t>
  </si>
  <si>
    <t>повышение затрат за счет увеличения амортизационных отчислений.</t>
  </si>
  <si>
    <t>Система водоснабжения</t>
  </si>
  <si>
    <t>ВС</t>
  </si>
  <si>
    <t>Система водоотведения</t>
  </si>
  <si>
    <t>ВО</t>
  </si>
  <si>
    <t>Система электроснабжения</t>
  </si>
  <si>
    <t>ЭС</t>
  </si>
  <si>
    <t>Система газоснабжения</t>
  </si>
  <si>
    <t>ГС</t>
  </si>
  <si>
    <t>Сфера обращения с ТКО</t>
  </si>
  <si>
    <t>ТКО</t>
  </si>
  <si>
    <t>Параметр</t>
  </si>
  <si>
    <t>Система</t>
  </si>
  <si>
    <t>Значение показателя, тыс. руб. (без НДС)</t>
  </si>
  <si>
    <t>Система сбора и утилизации ТКО</t>
  </si>
  <si>
    <t>Цель реализации проекта</t>
  </si>
  <si>
    <t>Источники финансирования</t>
  </si>
  <si>
    <t>Всего</t>
  </si>
  <si>
    <t>ВСЕГО, в т.ч.:</t>
  </si>
  <si>
    <t>Выполнение экологических требований</t>
  </si>
  <si>
    <t>Проекты по срокам окупаемости</t>
  </si>
  <si>
    <t>быстроокупаемые проекты (срок окуп.до 7 лет)</t>
  </si>
  <si>
    <t>среднеокупаемые проекты (срок окуп. 7-15 лет)</t>
  </si>
  <si>
    <t>долгоокупаемые проекты (срок окупаемости более 15 лет)</t>
  </si>
  <si>
    <t>быстроокупаемые проекты (срок окупаемости до 7 лет)</t>
  </si>
  <si>
    <t>среднеокупаемые проекты (срок окупаемости 7-15 лет)</t>
  </si>
  <si>
    <t>Система обращения с ТКО</t>
  </si>
  <si>
    <t>Реализация проекта</t>
  </si>
  <si>
    <t>По целям реализации</t>
  </si>
  <si>
    <t>По срокам реализации</t>
  </si>
  <si>
    <t>Повышение надежности</t>
  </si>
  <si>
    <t>1.</t>
  </si>
  <si>
    <t>Доля получателей субсидий на оплату коммунальных услуг в общей численности населения</t>
  </si>
  <si>
    <t>1.1.</t>
  </si>
  <si>
    <t>Стоимость жилищно-коммунальных услуг на семью в год</t>
  </si>
  <si>
    <t>тыс. руб.</t>
  </si>
  <si>
    <t>1.2.</t>
  </si>
  <si>
    <t>Совокупная плата за коммунальные услуги на одного человека</t>
  </si>
  <si>
    <t>Совокупная плата населения за коммунальные услуги</t>
  </si>
  <si>
    <t>млрд руб.</t>
  </si>
  <si>
    <t>Среднегодовая численность населения</t>
  </si>
  <si>
    <t>1.3.</t>
  </si>
  <si>
    <t>Средний размер домохозяйства</t>
  </si>
  <si>
    <t>чел</t>
  </si>
  <si>
    <t>Совокупная плата за коммунальные услуги на семью</t>
  </si>
  <si>
    <t>Величина прожиточного минимума</t>
  </si>
  <si>
    <t>Доходные группы</t>
  </si>
  <si>
    <t>4.</t>
  </si>
  <si>
    <t>Среднедушевой доход населения по доходным группам в месяц</t>
  </si>
  <si>
    <t>Среднедушевой доход семьи по доходным группам в год</t>
  </si>
  <si>
    <t xml:space="preserve">Региональный стандарт максимально  допустимой  доли расходов граждан на оплату жилого помещения и коммунальных услуг в совокупном доходе семьи </t>
  </si>
  <si>
    <t>Предельная величина расходов семьи на оплату жилищно-коммунальных услуг</t>
  </si>
  <si>
    <t>Численность населения получающих субсидию</t>
  </si>
  <si>
    <t>тыс. чел</t>
  </si>
  <si>
    <t>Размер субсидии в год</t>
  </si>
  <si>
    <t>млн руб.</t>
  </si>
  <si>
    <t>Количество семей, получающих субсидию</t>
  </si>
  <si>
    <t>Размер субсидии на семью в год</t>
  </si>
  <si>
    <t>млн. руб.</t>
  </si>
  <si>
    <t>2.1.</t>
  </si>
  <si>
    <t>2.2.</t>
  </si>
  <si>
    <t>2.3.</t>
  </si>
  <si>
    <t>3.1.</t>
  </si>
  <si>
    <t>3.2.</t>
  </si>
  <si>
    <t>3.3.</t>
  </si>
  <si>
    <t>4.1.</t>
  </si>
  <si>
    <t>5.1.</t>
  </si>
  <si>
    <t>6.1.</t>
  </si>
  <si>
    <t>Таблица  ____ - Расчет амортизационных отчислений по инвестиционным проектам, планируемым к реализации ___________</t>
  </si>
  <si>
    <t xml:space="preserve">Основные средства </t>
  </si>
  <si>
    <t xml:space="preserve">Первоначальная стоимость, без НДС, тыс. руб.   </t>
  </si>
  <si>
    <t>Норм. срок эксплуатации, годы</t>
  </si>
  <si>
    <t>Норма аморт. отчислений,  % в год</t>
  </si>
  <si>
    <t>Амортизационные отчисления по годам реализации проектов, тыс. руб.</t>
  </si>
  <si>
    <t>Источники тепловой энергии</t>
  </si>
  <si>
    <t>Источники</t>
  </si>
  <si>
    <t>Инвестиционные мероприятия (2022 год)</t>
  </si>
  <si>
    <t>Инвестиционные мероприятия (2023 год)</t>
  </si>
  <si>
    <t>Инвестиционные мероприятия (2024 год)</t>
  </si>
  <si>
    <t>Инвестиционные мероприятия (2025 год)</t>
  </si>
  <si>
    <t xml:space="preserve">Всего амортизационных отчислений: </t>
  </si>
  <si>
    <t>Тепловые сети</t>
  </si>
  <si>
    <t>сети</t>
  </si>
  <si>
    <t xml:space="preserve">Первоначальная стоимость, без НДС, тыс. руб. </t>
  </si>
  <si>
    <t>Водопроводные сети</t>
  </si>
  <si>
    <t>Объекты системы водоснабжения</t>
  </si>
  <si>
    <t>водоотведение</t>
  </si>
  <si>
    <t>Канализационные сети</t>
  </si>
  <si>
    <t>Объекты системы водоотведения (ОСК)</t>
  </si>
  <si>
    <t>Объекты системы водоотведения (КНС)</t>
  </si>
  <si>
    <t>электроснабжение</t>
  </si>
  <si>
    <t>газоснабжение</t>
  </si>
  <si>
    <t>обращение с ТКО</t>
  </si>
  <si>
    <t>Объекты переработки ТКО</t>
  </si>
  <si>
    <t>Газоснабжение</t>
  </si>
  <si>
    <t>Многоквартирные и блокированные жилые дома</t>
  </si>
  <si>
    <t>Численность населения, тыс. чел.</t>
  </si>
  <si>
    <t>Общая площадь жилых помещений</t>
  </si>
  <si>
    <t>Общая площадь жилых помещений, тыс. кв. м</t>
  </si>
  <si>
    <t>Введено в действие жилых домов на территории муниципального образования</t>
  </si>
  <si>
    <t>Введено в действие индивидуальных жилых домов на территории муниципального образования, кв.м.общей площади</t>
  </si>
  <si>
    <t>Число семей, состоящих на учете в качестве нуждающихся в жилых помещениях на конец года</t>
  </si>
  <si>
    <t>Динамика ввода жилья, м2</t>
  </si>
  <si>
    <t>Общая площадь жилых помещений, приходящаяся в среднем на одного жителя, м2</t>
  </si>
  <si>
    <r>
      <t>Общая площадь жилых помещений, приходящаяся в среднем на одного жителя, м</t>
    </r>
    <r>
      <rPr>
        <vertAlign val="superscript"/>
        <sz val="10"/>
        <color theme="1"/>
        <rFont val="Times New Roman"/>
        <family val="1"/>
        <charset val="204"/>
      </rPr>
      <t>2</t>
    </r>
  </si>
  <si>
    <t xml:space="preserve">Капитальные затраты в ценах 2022 г. без НДС, тыс. руб. </t>
  </si>
  <si>
    <t>Строительство, модернизация и (или) реконструкция объектов централизованных систем водоснабжения не связанных с подключением новых объектов капитального строительства абонентов</t>
  </si>
  <si>
    <t>Строительство, модернизация и (или) реконструкция объектов централизованных систем водоотведения не связанных с подключением новых объектов капитального строительства абонентов</t>
  </si>
  <si>
    <t>Строительство, модернизация и (или) реконструкция объектов обработки, утилизации, обезвреживания, размещения отходов</t>
  </si>
  <si>
    <t>Реконструкция, модернизация, техническое перевооружение</t>
  </si>
  <si>
    <t>Водоснабжение</t>
  </si>
  <si>
    <t>Водоотведение</t>
  </si>
  <si>
    <t>иные средства</t>
  </si>
  <si>
    <t>Объемы финансовых потребностей и капитальных затрат на реализацию мероприятий, тыс. руб. (без НДС)</t>
  </si>
  <si>
    <t>Увеличение эффективности и надежности эксплуатации энергоисточника</t>
  </si>
  <si>
    <t>2023-2024</t>
  </si>
  <si>
    <t>2024-2025</t>
  </si>
  <si>
    <t>2024-2026</t>
  </si>
  <si>
    <t>2022-2023</t>
  </si>
  <si>
    <t>2021-2023</t>
  </si>
  <si>
    <t>2020-2023</t>
  </si>
  <si>
    <t>2020-2024</t>
  </si>
  <si>
    <t>1.7</t>
  </si>
  <si>
    <t>1.8</t>
  </si>
  <si>
    <t>1.9</t>
  </si>
  <si>
    <t>1.10</t>
  </si>
  <si>
    <t>1.11</t>
  </si>
  <si>
    <t>1.13</t>
  </si>
  <si>
    <t>1.14</t>
  </si>
  <si>
    <t>1.15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</si>
  <si>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</si>
  <si>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</si>
  <si>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</si>
  <si>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</si>
  <si>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</si>
  <si>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</si>
  <si>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</si>
  <si>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</si>
  <si>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</si>
  <si>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</si>
  <si>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</si>
  <si>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</si>
  <si>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</si>
  <si>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</si>
  <si>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</si>
  <si>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</si>
  <si>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</si>
  <si>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</si>
  <si>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</si>
  <si>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</si>
  <si>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</si>
  <si>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</si>
  <si>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</si>
  <si>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</si>
  <si>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</si>
  <si>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</si>
  <si>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</si>
  <si>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</si>
  <si>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</si>
  <si>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</si>
  <si>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</si>
  <si>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</si>
  <si>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</si>
  <si>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</si>
  <si>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</si>
  <si>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</si>
  <si>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</si>
  <si>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Промышленные и коммунально-бытовые объекты</t>
  </si>
  <si>
    <t>В целях подключения объектов капитального строительства абонентов</t>
  </si>
  <si>
    <t>ОСК</t>
  </si>
  <si>
    <t>Показатели воздействия на окружающую среду</t>
  </si>
  <si>
    <t>Единица измерения</t>
  </si>
  <si>
    <t>Общий объем реализации тепловой энергии абонентам</t>
  </si>
  <si>
    <t>Суммарное потребление топлива</t>
  </si>
  <si>
    <t>Продолжительность (бесперебойность) поставки товаров и услуг</t>
  </si>
  <si>
    <t>2014-2024</t>
  </si>
  <si>
    <t/>
  </si>
  <si>
    <t>Норматив накопления ТКО в МКД</t>
  </si>
  <si>
    <t>куб.м/ человек в год</t>
  </si>
  <si>
    <t>Норматив накопления ТКО в ИЖД</t>
  </si>
  <si>
    <t>Объем ТКО</t>
  </si>
  <si>
    <t>куб.м</t>
  </si>
  <si>
    <t>Система сбора и утилизации твердых коммунальных отходов</t>
  </si>
  <si>
    <t>2.4.</t>
  </si>
  <si>
    <t>Уровень доступности</t>
  </si>
  <si>
    <t>Выше высокого</t>
  </si>
  <si>
    <t>Доступный</t>
  </si>
  <si>
    <t>Высокий</t>
  </si>
  <si>
    <t>Недоступный</t>
  </si>
  <si>
    <t>Статистические и прогнозные данные по жилым помещениям</t>
  </si>
  <si>
    <t>Целевые показатели развития коммунального комплекса, достижение которых планируется в ходе реализации Программы.</t>
  </si>
  <si>
    <t>ПАО "Газпром газораспределение Ростов на Дону"</t>
  </si>
  <si>
    <t xml:space="preserve">Капитальные затраты в ценах 2023 г. без НДС, тыс. руб. </t>
  </si>
  <si>
    <t>Инвестиционные мероприятия (2026 год)</t>
  </si>
  <si>
    <t>Инвестиционные мероприятия (2027 год)</t>
  </si>
  <si>
    <t>Инвестиционные мероприятия (2028 год)</t>
  </si>
  <si>
    <t>Инвестиционные мероприятия (2029 год)</t>
  </si>
  <si>
    <t>Инвестиционные мероприятия (2030 год)</t>
  </si>
  <si>
    <t>Инвестиционные мероприятия (2031 год)</t>
  </si>
  <si>
    <t>Инвестиционные мероприятия (2032 год)</t>
  </si>
  <si>
    <t>Инвестиционные мероприятия (2033 год)</t>
  </si>
  <si>
    <t>Инвестиционные мероприятия (2034 год)</t>
  </si>
  <si>
    <t>Инвестиционные мероприятия (2035 год)</t>
  </si>
  <si>
    <t>Инвестиционные мероприятия (2036 год)</t>
  </si>
  <si>
    <t>Инвестиционные мероприятия (2037 год)</t>
  </si>
  <si>
    <t>Инвестиционные мероприятия (2038 год)</t>
  </si>
  <si>
    <t>Инвестиционные мероприятия (2039 год)</t>
  </si>
  <si>
    <t>Инвестиционные мероприятия (2040 год)</t>
  </si>
  <si>
    <t>2026-2027</t>
  </si>
  <si>
    <t>водоснабжение</t>
  </si>
  <si>
    <t>тыс. человек</t>
  </si>
  <si>
    <t>Численность населения МО</t>
  </si>
  <si>
    <t>Прирост потребления</t>
  </si>
  <si>
    <t>Показатели спроса на услуги водоснабжения:</t>
  </si>
  <si>
    <t>–</t>
  </si>
  <si>
    <t>потребление питьевой воды абонентами на территории города</t>
  </si>
  <si>
    <t>Показатели качества питьевой воды:</t>
  </si>
  <si>
    <t>Показатели надежности и бесперебойности водоснабжения:</t>
  </si>
  <si>
    <t>Показатели эффективности использования ресурсов:</t>
  </si>
  <si>
    <t>удельный расход электрической энергии, потребляемой в технологическом процессе подготовки и транспортировки питьевой воды, на единицу объема воды, отпускаемой в сеть</t>
  </si>
  <si>
    <t>Показатели спроса на услуги водоотведения</t>
  </si>
  <si>
    <t>сброс сточных вод абонентами в централизованную систему водоотведения</t>
  </si>
  <si>
    <t>Показатели качества очистки сточных вод:</t>
  </si>
  <si>
    <t xml:space="preserve">доля проб сточных вод, не соответствующих установленным нормативам допустимых сбросов, лимитам на сбросы, рассчитанная применительно к централизованной общесплавной (бытовой) системе водоотведения </t>
  </si>
  <si>
    <t>Показатели надежности и бесперебойности водоотведения:</t>
  </si>
  <si>
    <t>удельное количество аварий и засоров в расчете на протяженность канализационной сети в год</t>
  </si>
  <si>
    <t>Показатели энергетической эффективности централизованной системы водоотведения: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</si>
  <si>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</si>
  <si>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энергии, потребляемой в технологическом процессе транспортировки сточных вод, на единицу объема транспортируемых сточных вод</t>
  </si>
  <si>
    <t>Показатели спроса на услуги теплоснабжения:</t>
  </si>
  <si>
    <t>Объем выработки тепловой энергии</t>
  </si>
  <si>
    <t>тыс. т.у.т.</t>
  </si>
  <si>
    <t>Показатели надежности объектов теплоснабжения: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</si>
  <si>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</si>
  <si>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</t>
  </si>
  <si>
    <t>ед./Гкал/ч</t>
  </si>
  <si>
    <t>Показатели энергетической эффективности объектов теплоснабжения:</t>
  </si>
  <si>
    <t>удельный расход топлива на производство единицы тепловой энергии, отпускаемой с коллекторов источников тепловой энергии</t>
  </si>
  <si>
    <t>кг у.т./ Гкал</t>
  </si>
  <si>
    <t>отношение величины технологических потерь тепловой энергии, теплоносителя к материальной характеристике тепловой сети</t>
  </si>
  <si>
    <t>величина технологических потерь при передаче тепловой энергии, теплоносителя по тепловым сетям</t>
  </si>
  <si>
    <t>то же в % от отпуска</t>
  </si>
  <si>
    <t>Показатели качества поставляемого ресурса:</t>
  </si>
  <si>
    <t>Оснащение домов общедомовыми приборами учета</t>
  </si>
  <si>
    <t>тыс. м3</t>
  </si>
  <si>
    <t>Индивидуальные жилые дома</t>
  </si>
  <si>
    <t>Прочее</t>
  </si>
  <si>
    <t>Потребление природного газа</t>
  </si>
  <si>
    <r>
      <t>млн. м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</si>
  <si>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Строительство водопроводных сетей</t>
  </si>
  <si>
    <t>Протяженность 70,44 км</t>
  </si>
  <si>
    <t xml:space="preserve">Схема водоснабжения и водоотведения города Югорска (актуализация на 2024 год) </t>
  </si>
  <si>
    <t>Подключение новых потребителей</t>
  </si>
  <si>
    <t>2024-2035</t>
  </si>
  <si>
    <t>Герметизация оголовков скважин №№ 1,2,3,4,5а,6,7,9,12,14,15,15а,16,16а с целью исключения проникновения в межтрубное и затрубное пространство скважины поверхностной воды и загрязнений</t>
  </si>
  <si>
    <t>14 единиц</t>
  </si>
  <si>
    <t>Исключение проникновения в межтрубное и затрубное пространство скважины поверхностной воды и загрязнений</t>
  </si>
  <si>
    <t>Герметизация оголовка скважины № 1 (Югорск-2) с целью исключения проникновения в межтрубное и затрубное пространство скважины поверхностной воды и загрязнений</t>
  </si>
  <si>
    <t>3 единицы</t>
  </si>
  <si>
    <t>Установка манометров на напорном трубопроводе обвязки скважин  №№ 1,2,3,4,5,6,7,8,9,10,12,13,15,15а,16,17,18,19</t>
  </si>
  <si>
    <t>18 единиц</t>
  </si>
  <si>
    <t>Повышение надежности водоснабжения и качества коммунальных ресурсов</t>
  </si>
  <si>
    <t xml:space="preserve">Замена запорной арматуры водозаборных скважинах </t>
  </si>
  <si>
    <t>20 единиц</t>
  </si>
  <si>
    <t>Установка запорной арматуры на напорном трубопроводе обвязки скважины №1 (Югорск-2)</t>
  </si>
  <si>
    <t>1 единица</t>
  </si>
  <si>
    <t>Ликвидация выведенной из эксплуатации водозаборной скважины № 21. Временная консервация волозаборной скважины №11</t>
  </si>
  <si>
    <t>Замена ветхих участков внутристанционных трубопроводов (распределительная система фильтров I, II ступени) из стальных труб на полиэтиленовые</t>
  </si>
  <si>
    <t>Протяженность 2,688 км.</t>
  </si>
  <si>
    <t>Замена выпрямительного агрегата УЗА-150-80</t>
  </si>
  <si>
    <t>Замена заджвижек промывной воды на фильтрах №№1,2,3,4 ВОС-800</t>
  </si>
  <si>
    <t>Установка приборов учета промывной воды на ВОС-800</t>
  </si>
  <si>
    <t>4 единицы</t>
  </si>
  <si>
    <t>Учет количества воды расходуемой на собственные нужды станции</t>
  </si>
  <si>
    <t xml:space="preserve">Устройство ограждения артскважин с периметральным освещением и видеонаблюдением (комплект)  </t>
  </si>
  <si>
    <t>Защита источника водоснабжения от угроз техногенного, природного характера и террористических актов, предотвращение аварийных ситуаций, снижение риска и смягчение последствий чрезвычайных ситуаций</t>
  </si>
  <si>
    <t xml:space="preserve">Устройство ограждения ВОС-800  Югорск-2 с периметральным освещением и видеонаблюдением </t>
  </si>
  <si>
    <t>1 комплект</t>
  </si>
  <si>
    <t xml:space="preserve">Утепление водопроводных колодцев </t>
  </si>
  <si>
    <t>1935 единиц</t>
  </si>
  <si>
    <t>Часть колодцев на водопроводной сети (1935 шт.) не имеет достаточной теплоизоляции, что приводит к риску замерзания водопроводных труб и арматуры. Утепление необходимо для снижения до минимума тепловых потерь трубопроводов и обеспечивает предупреждение замерзания водопроводных труб, арматуры на сетях.</t>
  </si>
  <si>
    <t xml:space="preserve">Оснащение МКД общедомовыми приборами учета воды в комплекте с интерфейсным радиомодемом для автоматизированной передачи данных  </t>
  </si>
  <si>
    <t>636 единиц</t>
  </si>
  <si>
    <t xml:space="preserve">Организация сбора документально подтверждённого объема потребления и внедрение автоматизированного сбора данных о потреблении воды на территории обслуживания, снижение потерь воды и неучтенных расходов за счет снижения бездоговорного водопотребления:
- повышение собираемости платежей до 38%;
- сокращение расходов по учету реализуемых ресурсов до 88%;
- отсутствие расходов на обслуживание.
</t>
  </si>
  <si>
    <t>Оснащение индивидуальных потребителей автономными счетчиками горячей и холодной воды со встроенным радиомодулем для дистанционного учета потребления воды</t>
  </si>
  <si>
    <t>5724 единицы</t>
  </si>
  <si>
    <t>2024-2031</t>
  </si>
  <si>
    <t xml:space="preserve">Приобретение и установка стационарной радиостанции повышенной мощности для приема-передачи данных с приборов учета с внедрением веб-приложения для онлайн отображения показаний приборов учета (комплект)  </t>
  </si>
  <si>
    <t>Реконструкция трубопроводов водоснабжения с заменой стальных трубопроводов на полиэтиленовые трубы</t>
  </si>
  <si>
    <t>Протяженность 15,5 км</t>
  </si>
  <si>
    <t>Средний уровень износа сетей водоснабжения по состоянию – 73%. Протяженность ветхих водопроводных сетей, требующих замены, – 137,21 км. Как следствие, наблюдается вторичное загрязнение и ухудшение качества воды вследствие внутренней коррозии металлических трубопроводов.</t>
  </si>
  <si>
    <t>2024-2030</t>
  </si>
  <si>
    <t>Капитальный ремонт (с заменой) сетей водоснабжения по ул. Попова в городе Югорске</t>
  </si>
  <si>
    <t>Протяженность 1,5 км</t>
  </si>
  <si>
    <t>Капитальный ремонт (с заменой) сетей водоснабжения от водозаборных сооружений до ВОС по ул. Агиришская, 12 в городе Югорске</t>
  </si>
  <si>
    <t>Протяженность 10,6 км</t>
  </si>
  <si>
    <t>Снос индивидуальных гаражей, зона санитарной защиты которых пересекается с зоной санитарной охраны водозабора Югорск-2 со-гласно требований СанПиН 2.2.1/2.1.1.1200-03 и СанПиН 2.1.4.1110-02</t>
  </si>
  <si>
    <t>Капитальный ремонт (с заменой) участка сетей водоснабжения
методом ГНБ по улице Снежная в городе Югорске</t>
  </si>
  <si>
    <t>Протяженность 770 м</t>
  </si>
  <si>
    <t>Строительство блочно-модульной фильтровальной станции очистки воды, производительностью 8,0 тыс. м3 /сутки, на территории ВОС по ул. Агиришская, 12 в городе Югорске</t>
  </si>
  <si>
    <t>Производительность  8,0 тыс. м3/сутки</t>
  </si>
  <si>
    <t>Строительство насосной 1-го подъема и двух резервуаров-усреднителей на территории водозаборных сооружений, 4-й километр автодороги Югорск-Агириш в городе Югорске</t>
  </si>
  <si>
    <t>Капитальный ремонт (с заменой) участка сетей водоснабжения
методом ГНБ по улице Монтажников в городе Югорске</t>
  </si>
  <si>
    <t>Протяженность 960 м</t>
  </si>
  <si>
    <t>Замена ветхого участка сети</t>
  </si>
  <si>
    <t>Соблюдения требований СанПиН 2.2.1/2.1.1.1200-03 и СанПиН 2.1.4.1110-02</t>
  </si>
  <si>
    <t>Обеспечение качества питьевой воды, повышение энергоэффективности технологического оборудования, снижение эксплуатационных затрат</t>
  </si>
  <si>
    <t>Обеспечение  постоянного напора и объема исходной воды, подаваемой на водоочистные сооружения. Увеличение срока службы глубинных насосов артезианских скважин</t>
  </si>
  <si>
    <t>Капитальный ремонт ( с заменой) сетей водоснабжения по ул. Кольцевая от ул. Лермонтова до ул. Агиришская в городе Югорске</t>
  </si>
  <si>
    <t>Протяженность 2,2 км</t>
  </si>
  <si>
    <t>Строительство сетей ливневой канализации</t>
  </si>
  <si>
    <t>Протяженность 98 км</t>
  </si>
  <si>
    <t>Ливневая насосная станция</t>
  </si>
  <si>
    <t>15 единиц</t>
  </si>
  <si>
    <t>Строительство локальных очистных сооружений ливневой канализации</t>
  </si>
  <si>
    <t>Строительство напорных сетей хозяйственно-бытового водоотведения</t>
  </si>
  <si>
    <t>Протяженность 14,86 км</t>
  </si>
  <si>
    <t>Строительство самотечных сетей хозяйственно-бытового водоотведения</t>
  </si>
  <si>
    <t>Протяженность 84,7 км</t>
  </si>
  <si>
    <t>Строительство канализационных насосных станций</t>
  </si>
  <si>
    <t>19 единиц</t>
  </si>
  <si>
    <t>2028-2035</t>
  </si>
  <si>
    <t>2033-2034</t>
  </si>
  <si>
    <t>2025-2035</t>
  </si>
  <si>
    <t>2025-2033</t>
  </si>
  <si>
    <t>Реконструкция канализационных очистных сооружений КОС-7000 по ул. Декабристов, 28 в городе Югорске</t>
  </si>
  <si>
    <t>Строительство новой блочно-модульной КНС взамен КНС-20</t>
  </si>
  <si>
    <t>Строительство новой блочно-модульной КНС взамен КНС-4</t>
  </si>
  <si>
    <t>Строительство новой блочно-модульной КНС взамен КНС-6</t>
  </si>
  <si>
    <t>Строительство новой блочно-модульной КНС взамен КНС-8</t>
  </si>
  <si>
    <t>Строительство новой блочно-модульной КНС взамен КНС-19</t>
  </si>
  <si>
    <t>Строительство новой блочно-модульной КНС взамен КНС-15</t>
  </si>
  <si>
    <t xml:space="preserve">Реконструкция ОГ КНС </t>
  </si>
  <si>
    <t>Замена одного насоса производительностью 450м³/час (55кВт) на насос, производительностью 200м³/час (37кВт)</t>
  </si>
  <si>
    <t xml:space="preserve">Реконструкция КНС-2 (ул. Железнодорожная) </t>
  </si>
  <si>
    <t>Замена:
- технологического трубопровода и арматуры (задвижка - 10 ед., обратный клапан - 3 ед.); 
- насосной группы, производительность 160 м³/час на насосы с такой же производительностью;и установкой устройств для задержания крупных взвешенных компонентов</t>
  </si>
  <si>
    <t>Реконструкция КНС-3 (ул. 40 лет Победы)</t>
  </si>
  <si>
    <t xml:space="preserve">Зачистка трубопровода погружных насосов и нанесение гидроизоляции;
- устройство системы вентиляции;
- установка устройств для задержания крупных взвешенных компонентов;
- замена отопительного прибора
</t>
  </si>
  <si>
    <t xml:space="preserve">Реконструкция КНС-5 </t>
  </si>
  <si>
    <t>Замена насоса марки СМ 80-125-315/4 на насос такой же производительностью (2 шт.) и установкой отопительного прибора</t>
  </si>
  <si>
    <t xml:space="preserve">Реконструкция КНС-10 (ул. Гоголя) </t>
  </si>
  <si>
    <t xml:space="preserve"> Замена технологического трубопровода и арматуры (задвижка - 12 ед., обратный клапан - 3 ед.), установкой насоса марки АС 125-100-400, установкой устройств для задержания крупных взвешенных компонентов и косметическим ремонтом машинного зала (нанесение защитного покрытия, покраска стен</t>
  </si>
  <si>
    <t xml:space="preserve">Реконструкция КНС-11 (ул. Южная) </t>
  </si>
  <si>
    <t>Замена технологического трубопровода и арматуры (задвижка - 12 ед., обратный клапан - 3 ед.), установкой насоса марки АС 125-100-400, установкой устройств для задержания крупных взвешенных компонентов и косметическим ремонтом машинного зала (нанесение защитного покрытия, покраска стен</t>
  </si>
  <si>
    <t>Реконструкция напорных сетей хозяйственно-бытового водоотведения</t>
  </si>
  <si>
    <t>Протяженность 10,4 км</t>
  </si>
  <si>
    <t>Реконструкция самотечных сетей хозяйственно-бытового водоотведения</t>
  </si>
  <si>
    <t>Замена запорной арматуры на сетях водоотведения</t>
  </si>
  <si>
    <t>125 единиц</t>
  </si>
  <si>
    <t>Утепление канализационных колодцев</t>
  </si>
  <si>
    <t>4282 единицы</t>
  </si>
  <si>
    <t>Капитальный ремонт сетей водоотведения КНС №№ 14, 15 по ул. Таежная в городе Югорске</t>
  </si>
  <si>
    <t>Капитальный ремонт сетей водоотведения КНС № 6 по ул. Энтузиастов в городе Югорске</t>
  </si>
  <si>
    <t>Капитальный ремонт сетей водоотведения КНС № 20 по ул. Менделеева в городе Югорске</t>
  </si>
  <si>
    <t>Капитальный ремонт сетей водоотведения КНС № 4 по ул. Титова в городе Югорске</t>
  </si>
  <si>
    <t>Реконструкция трубопроводов водоотведения с заменой стальных напорных коллекторов на полиэтиленовые от ОГКНС до КОС-7000</t>
  </si>
  <si>
    <t>Реконструкция трубопроводов водоотведения с заменой стальных напорных коллекторов на полиэтиленовые от КНС-6 до перекрестка ул. Мира - Таежная</t>
  </si>
  <si>
    <t>Капитальный ремонт сетей водоотведения КНС № 19 по ул. Титова в городе Югорске</t>
  </si>
  <si>
    <t>2027-2035</t>
  </si>
  <si>
    <t>2031-2035</t>
  </si>
  <si>
    <t>2029-2035</t>
  </si>
  <si>
    <t>Подключение потребителей к сетям ливневой канализации</t>
  </si>
  <si>
    <t>Обеспечение услугами новых потребителей</t>
  </si>
  <si>
    <t>Увеличение надежности</t>
  </si>
  <si>
    <t>Утепление необходимо для снижения до минимума тепловых потерь трубопроводов и обеспечивает предупреждение замерзания</t>
  </si>
  <si>
    <t>Снижения уровня износа</t>
  </si>
  <si>
    <t>МУП "Югорскэнергогаз" ВО</t>
  </si>
  <si>
    <t>Уровень оснащенности потребителей приборами учета (многоквартирные дома)</t>
  </si>
  <si>
    <t>Уровень оснащенности потребителей приборами учета (индивидуальные дома)</t>
  </si>
  <si>
    <t>Уровень оснащенности потребителей приборами учета (бюджетные организации)</t>
  </si>
  <si>
    <t>5.3</t>
  </si>
  <si>
    <t>Численность населения в городском округе – муниципальном образовании "Город Югорск " в соответствии с Генеральным Планом</t>
  </si>
  <si>
    <t>20 тыс. тонн/год</t>
  </si>
  <si>
    <t>Создание мусороперегрузочной станции твердых коммунальных отходов г. Югорск</t>
  </si>
  <si>
    <t>Перегрузка твердых коммунальных отходов г. Югорск</t>
  </si>
  <si>
    <t>Сокращение объема перевозок, уменьшение затрат на логистику</t>
  </si>
  <si>
    <t>Территориальная схема обращения с отходами в ХМАО-Югре</t>
  </si>
  <si>
    <t>МУП "Югорскэнергогаз" ВС</t>
  </si>
  <si>
    <t>Показатели спроса на услуги газоснабжения</t>
  </si>
  <si>
    <t>потребление природного газа</t>
  </si>
  <si>
    <t>млн. м3</t>
  </si>
  <si>
    <t>прирост потребления природного газа</t>
  </si>
  <si>
    <t>доля потребителей в жилых домах, обеспеченных доступом к коммунальной инфраструктуре</t>
  </si>
  <si>
    <t>обеспечение давления в точке подключения потребителей услуг к газораспределительной сети в пределах, необходимых для функционирования газопотребляющего оборудования</t>
  </si>
  <si>
    <t>количество обращений потребителей услуг в течение периода регулирования по поводу отклонения давления</t>
  </si>
  <si>
    <t>соответствие физико-химических характеристик газа в точке подключения потребителей услуг к сети газораспределения требованиям, установленным в нормативно-технических документах</t>
  </si>
  <si>
    <t>количество обращений потребителей услуг в течение периода регулирования по поводу несоответствия физико-химических характеристик газа</t>
  </si>
  <si>
    <t>Показатели надежности (бесперебойности) снабжения потребителей услугами</t>
  </si>
  <si>
    <t>аварийность систем коммунальной инфраструктуры</t>
  </si>
  <si>
    <t>продолжительность (бесперебойность) поставки товаров и услуг</t>
  </si>
  <si>
    <t>ч/год</t>
  </si>
  <si>
    <t>удельный вес сетей, нуждающихся в замене</t>
  </si>
  <si>
    <t>превышение ПДВ в атмосферу</t>
  </si>
  <si>
    <t>2.</t>
  </si>
  <si>
    <t>3.</t>
  </si>
  <si>
    <t>АО «Газпром энергосбыт Тюмень»</t>
  </si>
  <si>
    <t>АО «Газпром газораспределение Север»</t>
  </si>
  <si>
    <t>МУП «Югорскэнергогаз» ТС</t>
  </si>
  <si>
    <t>МУП «Югорскэнергогаз» ВС</t>
  </si>
  <si>
    <t>МУП «Югорскэнергогаз» ВО</t>
  </si>
  <si>
    <t>Проекты по срокам окупаемости разделяются в соответствии с целями реализации проекта на:</t>
  </si>
  <si>
    <t>Быстроокупаемые проекты (с простыми сроками окупаемости за счет получаемых эффектов до 7 лет);</t>
  </si>
  <si>
    <t>Среднеокупаемые проекты (с простыми сроками окупаемости за счет получаемых эффектов от 7 до 15 лет);</t>
  </si>
  <si>
    <t>Долгоокупаемые проекты (с простыми сроками окупаемости за счет получаемых эффектов более 15 лет).</t>
  </si>
  <si>
    <t>Подключение многовкартирного жилого дома по адресу ул. Магистральная, д. 21 к централизованному теплоснабжению</t>
  </si>
  <si>
    <t>Подключение многоквартирного жилого дома по адресу ул. Магистральная, д. 21 к централизованному теплоснабжению</t>
  </si>
  <si>
    <t>Схема теплоснабжения города Югорска до 2035 года (актуализация на 2024 год)</t>
  </si>
  <si>
    <t>котельной № 1  "Центральная-40 МВт"</t>
  </si>
  <si>
    <t>Строительство котельной № 2 "Западная-35 МВт"</t>
  </si>
  <si>
    <t xml:space="preserve">Строительство котельной № 3 "Северная-25 МВт" </t>
  </si>
  <si>
    <t xml:space="preserve">Строительство котельной № 4 "Калининская-20 МВт" </t>
  </si>
  <si>
    <t xml:space="preserve">Строительство котельной № 6 "Южная-25 МВт" </t>
  </si>
  <si>
    <t xml:space="preserve">Строительство котельной № 8 "Свердловская – 25 МВт" </t>
  </si>
  <si>
    <t>Строительство котельной № 9 "Гарнизонная-9 МВт"</t>
  </si>
  <si>
    <t>40 МВт</t>
  </si>
  <si>
    <t>Комплексный план строительства и модернизации коммунальной инфраструктуры в Ханты-Мансийском автономном округе-Югра на период 2023-2030 гг.</t>
  </si>
  <si>
    <t>Строительство новых тепловых сетей для переключения потребителей на котельную №1 «Центральная»</t>
  </si>
  <si>
    <t>Строительство новых тепловых сетей для переключения потребителей на котельную №2 «Западная»</t>
  </si>
  <si>
    <t>Строительство новых тепловых сетей для переключения потребителей на котельную №3 «Северная»</t>
  </si>
  <si>
    <t>Строительство новых тепловых сетей для переключения потребителей на котельную №4 «Калининская»</t>
  </si>
  <si>
    <t>Строительство новых тепловых сетей для переключения потребителей на котельную №6 «Южная»</t>
  </si>
  <si>
    <t>Строительство новых тепловых сетей для переключения потребителей на котельную №8 «Свердловская»</t>
  </si>
  <si>
    <t>Строительство новых тепловых сетей для переключения потребителей на котельную №9 «Гарнизонная»</t>
  </si>
  <si>
    <t>Строительство тепловых сетей с целью переключения потребителей</t>
  </si>
  <si>
    <t>Капитальный ремонт сетей тепловодоснабжения по ул. Энтузиастов в городе Югорске</t>
  </si>
  <si>
    <t>Капитальный ремонт сетей тепловодоснабжения по ул. Таежная в городе Югорске</t>
  </si>
  <si>
    <t>Капитальный ремонт (с заменой) сетей тепло-, водоснабжения от ул. Геологов д. 7 до ул. Геологов д. 15 г. Югорск (1 этап)</t>
  </si>
  <si>
    <t>Капитальный ремонт сетей тепловодоснабжения от котельной № 8 по ул. Геологов, 6Б в городе Югорске</t>
  </si>
  <si>
    <t>Капитальный ремонт сетей теплоснабжения от котельных № 2,3,18</t>
  </si>
  <si>
    <t>Капитальный ремонт сетей  теплоснабжения от котельных № 6,8</t>
  </si>
  <si>
    <t>Капитальный ремонт сетей теплоснабжения от котельных № 9</t>
  </si>
  <si>
    <t>Капитальный ремонт сетей теплоснабжения от котельных № 12,17</t>
  </si>
  <si>
    <t>Капитальный ремонт сетей теплоснабжения от котельных № 7,10</t>
  </si>
  <si>
    <t>Капитальный ремонт сетей  теплоснабжения от котельных № 22</t>
  </si>
  <si>
    <t>Капитальный ремонт сетей  теплоснабжения от котельных № 14</t>
  </si>
  <si>
    <t>Реконструкция котельной № 11</t>
  </si>
  <si>
    <t xml:space="preserve">Реконструкция котельной № 25 в 14-м микрорайоне </t>
  </si>
  <si>
    <t>2028-2029</t>
  </si>
  <si>
    <t>2025-2027</t>
  </si>
  <si>
    <t>Капитальный ремонт тепловых сетей</t>
  </si>
  <si>
    <t xml:space="preserve">Реконструкция котельных </t>
  </si>
  <si>
    <t>35 МВт</t>
  </si>
  <si>
    <t>25 МВт</t>
  </si>
  <si>
    <t>20 МВт</t>
  </si>
  <si>
    <t>9 МВт</t>
  </si>
  <si>
    <t>Ду 125
0,038 км.</t>
  </si>
  <si>
    <t>Ду 80
0,065 км.</t>
  </si>
  <si>
    <t>1,13 км</t>
  </si>
  <si>
    <t>2,27 км</t>
  </si>
  <si>
    <t>1,41 км</t>
  </si>
  <si>
    <t>2,8 км</t>
  </si>
  <si>
    <t>3,48 км</t>
  </si>
  <si>
    <t>15,36 км</t>
  </si>
  <si>
    <t>3,04 км</t>
  </si>
  <si>
    <t>2,12 км</t>
  </si>
  <si>
    <t>1,78 км</t>
  </si>
  <si>
    <t>6,32 км</t>
  </si>
  <si>
    <t>7,4 км</t>
  </si>
  <si>
    <t>26 Гкал/ч</t>
  </si>
  <si>
    <t>8,94 Гкал/ч</t>
  </si>
  <si>
    <t>Показатели качества оказываемых услуг</t>
  </si>
  <si>
    <t>Соответствие качества товаров и услуг установленным требованиям</t>
  </si>
  <si>
    <t>Доля потребителей в жилых домах, обеспеченных доступом к объектам</t>
  </si>
  <si>
    <t>Показатели эффективности объектов, используемых для захоронения твердых коммунальных отходов</t>
  </si>
  <si>
    <t>Доля проб подземных вод, почвы и воздуха, отобранных по результатам производственного экологического контроля, не соответствующих установленным требованиям, в общем объеме таких проб</t>
  </si>
  <si>
    <t>Количество возгораний твердых коммунальных отходов в расчете на единицу площади объекта, используемого для захоронения твердых коммунальных отходов)</t>
  </si>
  <si>
    <t>ед./га</t>
  </si>
  <si>
    <t>Показатели надежности поставки ресурса</t>
  </si>
  <si>
    <t>час./день</t>
  </si>
  <si>
    <t>Коэффициент защищенности объектов от пожаров</t>
  </si>
  <si>
    <t>3</t>
  </si>
  <si>
    <t>3.2</t>
  </si>
  <si>
    <t>«Жилой микрорайон «1-ый»»</t>
  </si>
  <si>
    <t>«Микрорайон «2-ой»»*</t>
  </si>
  <si>
    <t>«Микрорайон «3-ий»»</t>
  </si>
  <si>
    <t>«Микрорайон «4-ый»»*</t>
  </si>
  <si>
    <t>«Жилой микрорайон «7-ой» часть жилого микрорайона «5-ый»»</t>
  </si>
  <si>
    <t>«Жилой микрорайон «5-ый А» часть жилого микрорайона «5-ый»»*</t>
  </si>
  <si>
    <t>«Микрорайон «6-ой»»</t>
  </si>
  <si>
    <t>«Жилой микрорайон «7б»»*</t>
  </si>
  <si>
    <t>«Микрорайон «8-ой»»</t>
  </si>
  <si>
    <t>«Микрорайон «9-ый»»</t>
  </si>
  <si>
    <t>«Микрорайон «10-ый»»</t>
  </si>
  <si>
    <t>«Микрорайон «11-ый»»</t>
  </si>
  <si>
    <t>«Микрорайон «12-ый»»</t>
  </si>
  <si>
    <t>«Микрорайон «13-ый»»</t>
  </si>
  <si>
    <t>«Микрорайон «14-ый»»</t>
  </si>
  <si>
    <t>«Жилой микрорайон «14-ый А», жилой микрорайон «ПМК-5»»</t>
  </si>
  <si>
    <t>«Микрорайон «15-ый»»</t>
  </si>
  <si>
    <t>«Жилой микрорайоны «16-ый» и «16-ый А»»*</t>
  </si>
  <si>
    <t>«Комплексная застройка 17 микрорайона»</t>
  </si>
  <si>
    <t>«Территория 18 микрорайна»</t>
  </si>
  <si>
    <t>«Территория 19 микрорайна»</t>
  </si>
  <si>
    <t>«Жилой район «Югорск-2»»</t>
  </si>
  <si>
    <t>Северная промышленная зона г. Югорска</t>
  </si>
  <si>
    <t xml:space="preserve"> 2.10</t>
  </si>
  <si>
    <t xml:space="preserve"> 2.11</t>
  </si>
  <si>
    <t xml:space="preserve"> 2.12</t>
  </si>
  <si>
    <t xml:space="preserve"> 2.13</t>
  </si>
  <si>
    <t xml:space="preserve"> 2.14</t>
  </si>
  <si>
    <t xml:space="preserve"> 2.15</t>
  </si>
  <si>
    <t xml:space="preserve"> 2.16</t>
  </si>
  <si>
    <t xml:space="preserve"> 2.17</t>
  </si>
  <si>
    <t xml:space="preserve"> 2.18</t>
  </si>
  <si>
    <t xml:space="preserve"> 2.19</t>
  </si>
  <si>
    <t xml:space="preserve"> 2.20</t>
  </si>
  <si>
    <t xml:space="preserve"> 2.21</t>
  </si>
  <si>
    <t xml:space="preserve"> 2.22</t>
  </si>
  <si>
    <t xml:space="preserve"> 2.23</t>
  </si>
  <si>
    <t>Детский реабилитационный центр, 12 мкр.</t>
  </si>
  <si>
    <t>Детский реабилитационный центр, 3 мкр.</t>
  </si>
  <si>
    <t>Детский реабилитационный центр, 8 мкр.</t>
  </si>
  <si>
    <t>Детский реабилитационный центр, Югорск-2</t>
  </si>
  <si>
    <t>Детский сад на 140 мест, пер. Северный</t>
  </si>
  <si>
    <t>Детский сад на 140 мест, ул. Сергеевская</t>
  </si>
  <si>
    <t>Детский сад на 180 мест, ул. Покровская</t>
  </si>
  <si>
    <t>Детский сад на 180 мест, Югорск-2</t>
  </si>
  <si>
    <t>Детский сад на 220 мест, ул. Таежная</t>
  </si>
  <si>
    <t>Детский сад на 300 мест, 19 мкр.</t>
  </si>
  <si>
    <t>Детский сад на 300 мест, б-р Сибирский</t>
  </si>
  <si>
    <t>Детский сад на 300 мест, ул. Алексеевская</t>
  </si>
  <si>
    <t>Детский сад на 300 мест, ул. Садовая</t>
  </si>
  <si>
    <t>Детский сад на 83 мест, многофункциональное здание, 4 мкр.</t>
  </si>
  <si>
    <t>Дом-интернат для взрослых на 320 мест, Югорск-2</t>
  </si>
  <si>
    <t>Дом-интернат для детей-инвалидов на 95 мест, Югорск-2</t>
  </si>
  <si>
    <t>Дом-интернат для престарелых на 145 мест, Югорск-2</t>
  </si>
  <si>
    <t>Клуб на 550 мест, 17 мкр.</t>
  </si>
  <si>
    <t>Клуб на 550 мест, 19 мкр.</t>
  </si>
  <si>
    <t>Культурно-досуговый центр на 180 мест, 19 мкр.</t>
  </si>
  <si>
    <t>Многофункциональное здание (вкл. детский сад и учреждение доп. образования) на  мест, многофункциональное здание, 4 мкр.</t>
  </si>
  <si>
    <t>Многофункциональное здание (вкл. поликлинику и учреждение доп. образования) на  мест, ул. Чкалова, д. 7, корп. 2</t>
  </si>
  <si>
    <t>Поликлиника на 99 посещений в день ул. Чкалова, д. 7, корп. 2</t>
  </si>
  <si>
    <t>Психоневрологичекий интернат на 150 мест, Югорск-2</t>
  </si>
  <si>
    <t>Реконструкция главного корпуса Центральной городской больницы расширение мощности до 570 коек</t>
  </si>
  <si>
    <t>Средняя школа на 146 учащ., Югорск-2</t>
  </si>
  <si>
    <t>Средняя школа на 450 учащ., 19 мкр.</t>
  </si>
  <si>
    <t>Средняя школа на 651 учащ., ул. Сергеевская</t>
  </si>
  <si>
    <t>Таежный театр на 300 мест, Югорск-2</t>
  </si>
  <si>
    <t>Учреждение доп. образования на 192 мест 9 мкр.</t>
  </si>
  <si>
    <t>Учреждение доп. образования на 195 мест 11 мкр.</t>
  </si>
  <si>
    <t>Учреждение доп. образования на 284 мест ул. Чкалова, д. 7, корп. 2</t>
  </si>
  <si>
    <t>Учреждение доп. образования на 35 мест многофункциональное здание, 4 мкр.</t>
  </si>
  <si>
    <t>Школа 2 уровня на 230 учащ., ул. Студенческая</t>
  </si>
  <si>
    <t>Школа на 450 учащ., 17 мкр.</t>
  </si>
  <si>
    <t xml:space="preserve"> 3.14</t>
  </si>
  <si>
    <t xml:space="preserve"> 3.15</t>
  </si>
  <si>
    <t xml:space="preserve"> 3.16</t>
  </si>
  <si>
    <t xml:space="preserve"> 3.17</t>
  </si>
  <si>
    <t xml:space="preserve"> 3.18</t>
  </si>
  <si>
    <t xml:space="preserve"> 3.19</t>
  </si>
  <si>
    <t xml:space="preserve"> 3.20</t>
  </si>
  <si>
    <t xml:space="preserve"> 3.21</t>
  </si>
  <si>
    <t xml:space="preserve"> 3.22</t>
  </si>
  <si>
    <t xml:space="preserve"> 3.23</t>
  </si>
  <si>
    <t xml:space="preserve"> 3.24</t>
  </si>
  <si>
    <t xml:space="preserve"> 3.25</t>
  </si>
  <si>
    <t xml:space="preserve"> 3.26</t>
  </si>
  <si>
    <t xml:space="preserve"> 3.27</t>
  </si>
  <si>
    <t xml:space="preserve"> 3.28</t>
  </si>
  <si>
    <t xml:space="preserve"> 3.29</t>
  </si>
  <si>
    <t xml:space="preserve"> 3.30</t>
  </si>
  <si>
    <t xml:space="preserve"> 3.31</t>
  </si>
  <si>
    <t xml:space="preserve"> 3.32</t>
  </si>
  <si>
    <t xml:space="preserve"> 3.33</t>
  </si>
  <si>
    <t xml:space="preserve"> 3.34</t>
  </si>
  <si>
    <t xml:space="preserve"> 3.35</t>
  </si>
  <si>
    <t>Прогноз приростов площадей строительных фондов по категориям в г. Югорске на период до 2040 года, м2</t>
  </si>
  <si>
    <r>
      <t>млн. кВт</t>
    </r>
    <r>
      <rPr>
        <sz val="10"/>
        <color rgb="FF000000"/>
        <rFont val="Calibri"/>
        <family val="2"/>
        <charset val="204"/>
      </rPr>
      <t>·</t>
    </r>
    <r>
      <rPr>
        <sz val="10"/>
        <color rgb="FF000000"/>
        <rFont val="Times New Roman"/>
        <family val="1"/>
        <charset val="204"/>
      </rPr>
      <t>ч</t>
    </r>
  </si>
  <si>
    <t>Показатели спроса на услуги электроснабжения</t>
  </si>
  <si>
    <t>Спрос на ЭЭ и ЭМ</t>
  </si>
  <si>
    <t>Прирост средней потребляемой электрической мощности</t>
  </si>
  <si>
    <t>АО «Россети Тюмень»</t>
  </si>
  <si>
    <t>АО «ЮРЭСК»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</si>
  <si>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</si>
  <si>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</si>
  <si>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</si>
  <si>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</si>
  <si>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</si>
  <si>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</si>
  <si>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</si>
  <si>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</si>
  <si>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</si>
  <si>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</si>
  <si>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</si>
  <si>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</si>
  <si>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</si>
  <si>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</si>
  <si>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</si>
  <si>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</si>
  <si>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</si>
  <si>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ЛЭП 0,4 кВ для электроснабжения станции связи по ул. Кольцевая в г. Югорск. (M_ТПЮг-0597)</t>
  </si>
  <si>
    <t>ЛЭП 0,4 кВ</t>
  </si>
  <si>
    <t>Инвест.программа АО "ЮРЭСК" на 2023-2027 годы</t>
  </si>
  <si>
    <t>ЛЭП 0,4 кВ для электроснабжения жилых домов по ул. Дзержинского в г. Югорск. (N_ТПЮг-0722)</t>
  </si>
  <si>
    <t>ЛЭП-0,4 кВ для электроснабжения дачного дома по ул. Цветочная, 10 в г.Югорск (N_ТПЮг-0730)</t>
  </si>
  <si>
    <t>Строительство ЛЭП 0,4 кВ ориентировочной протяженность 0,250 км для электроснабжения жилого дома по ул. Самоцветная д.16 в г. Югорск (N_ТПЮг-0810)</t>
  </si>
  <si>
    <t>ЛЭП 0,4 кВ (0,25 км)</t>
  </si>
  <si>
    <t>Строительство ЛЭП 0,4 кВ ориентировочной протяженностью 0,065 км. для электроснабжения жилого дома на ЗУ № 86:22:0003002:3496 в г. Югорск (N_ТПЮг-0754)</t>
  </si>
  <si>
    <t>ЛЭП 0,4 кВ (0,065 км)</t>
  </si>
  <si>
    <t>Строительство ЛЭП 0,4 кВ ориентировочной протяженностью 0,120 км для электроснабжения жилого дома по ул. Титова, 14 в г. Югорск (N_ТПЮг-0772)</t>
  </si>
  <si>
    <t>ЛЭП 0,4 кВ (0,12 км)</t>
  </si>
  <si>
    <t>Строительство ЛЭП 0,4 кВ ориентировочной протяженностью 0,22 км для электроснабжения Заправки транспортных средств ул. Кольцевая, уч. 1Б, Кад. № 86:22:0002001:1399 в г. Югорск (N_ТПЮг-0807)</t>
  </si>
  <si>
    <t>ЛЭП 0,4 кВ (0,22 км)</t>
  </si>
  <si>
    <t>Строительство ЛЭП 0,4 кВ ориентировочной протяженностью по трассе 0,09 км для электроснабжения жилого дома по ул. Дачная в г. Югорск (N_ТПЮг-0742)</t>
  </si>
  <si>
    <t>ЛЭП 0,4 кВ (0,09 км)</t>
  </si>
  <si>
    <t>ТП 10/0,4 кВ, ЛЭП 10 кВ для электроснабжения станции связи "Югорск" по ул. Промышленная в г. Югорск. (N_ТПЮг-0735)</t>
  </si>
  <si>
    <t>ТП 10/0,4 кВ, ЛЭП 0,4 кВ</t>
  </si>
  <si>
    <t>ЛЭП-0,4 кВ для электроснабжения многоквартирного жилого дома по ул. Менделеева, уч. 33а, в г. Югорск (L_ТПЮг-0446)</t>
  </si>
  <si>
    <t>ЛЭП-0,4 кВ для электроснабжения многоквартирного жилого дома по ул. Титова, 30, в г. Югорск (L_ТПЮг-0452)</t>
  </si>
  <si>
    <t>ТП 10/0,4 кВ, ЛЭП 10 кВ  для электроснабжения туристической базы в г. Югорске. (M_ТПЮг-0681)</t>
  </si>
  <si>
    <t>Строительство КТП 10/0,4 кВ мощностью 0,16 МВА, ЛЭП 10 кВ ориентировочной протяженностью 0,01 км для электроснабжения земельного участка по ул. Железнодорожная, уч. 71 в г. Югорск (N_ТПЮг-0767)</t>
  </si>
  <si>
    <t>ТП 10/0,4 кВ, ЛЭП 10 кВ</t>
  </si>
  <si>
    <t>Строительство КТП 10/0,4 кВ мощностью 0,25 МВА, ЛЭП 10-0,4 кВ ориентировочной протяженностью 0,170 км для электроснабжения магазина по ул. Газовиков, 6 А в г. Югорск (N_ТПЮг-0771)</t>
  </si>
  <si>
    <t>ТП 10/0,4 кВ
(0,25 МВА), ЛЭП 10-04 кВ
(0,17 км)</t>
  </si>
  <si>
    <t>Сети электроснабжения 10-0,4 кВ, КТП-10/0,4 кВ в мкр. "Зеленая зона" г. Югорск (3 этап) (G_СЮг-0187)</t>
  </si>
  <si>
    <t>ТП 10/0,4 кВ, ЛЭП 10-04 кВ</t>
  </si>
  <si>
    <t>Строительство ВЛ-10 кВ ориентировочной протяженностью 2,2 км фидер "Лесокомбинат" ПС 110/10 кВ "Геологическая" в г. Югорск (M_СЮг-0629)</t>
  </si>
  <si>
    <t>ЛЭП 10 кВ
 (2,2 км)</t>
  </si>
  <si>
    <t>Строительство КЛ 0,4 кВ ориентировочной протяженностью 0,05 км для электроснабжения многоквартирного трехэтажного жилого дома №3 в границах ул. Гранитная-Лунная-Нововятская-Агиришская в городе Югорск (H_ТПЮг-0056)</t>
  </si>
  <si>
    <t>КЛ 0,4 кВ 
(0,05 км)</t>
  </si>
  <si>
    <t>Строительство КЛ 0,4 кВ ориентировочной протяженностью 0,07 км для электроснабжения многоквартирного жилого дома №2 в границах ул. Гранитная-Лунная-Нововятская-Агиришская в г. Югорске (H_ТПЮг-0055)</t>
  </si>
  <si>
    <t>КЛ 0,4 кВ 
(0,07 км)</t>
  </si>
  <si>
    <t>2025-2026</t>
  </si>
  <si>
    <t>Строительство КТП 10/0,4 кВ мощностью 0,25 МВА для электроснабжения объекта по ул.Славянская, 16А в г. Югорске (H_ТПЮг-0131)</t>
  </si>
  <si>
    <t>ТП 10/0,4 кВ 
(0,25 МВА)</t>
  </si>
  <si>
    <t>Строительство КТП 10/0,4 кВ мощностью 0,4 МВА, ЛЭП 10 кВ ориентировочной протяженностью 0,3 км для электроснабжения объекта по ул. Железнодорожная, 65 в г. Югорске (H_ТПЮг-0133)</t>
  </si>
  <si>
    <t>ТП 10/0,4 кВ (0,4 МВА), 
ЛЭП 10 кВ 
(0,3 км)</t>
  </si>
  <si>
    <t>Строительство КТП 10/0,4 кВ мощностью 0,5 МВА, ЛЭП 10-0,4 кВ ориентировочной протяженностью 1,04 км для электроснабжения многоквартирных жилых домов по ул. Мраморная в г. Югорске (K_ТПЮг-0387)</t>
  </si>
  <si>
    <t>ТП 10/0,4 кВ (0,5 МВА), 
ЛЭП 10-04 кВ 
(1,04 км)</t>
  </si>
  <si>
    <t>Строительство КТП 10/0,4 кВ мощностью 2 МВА, ЛЭП 10-0,4 кВ ориентировочной протяженностью 0,65 кмдля электроснабжения многоквартирного жилого дома №1 в границах ул. Гранитная-Лунная-Нововятская-Агиришская в г. Югорске (H_ТПЮг-0126)</t>
  </si>
  <si>
    <t>ТП 10/0,4 кВ (2 МВА), 
ЛЭП 10-04 кВ 
(0,65 км)</t>
  </si>
  <si>
    <t>Строительство ЛЭП 0,4 кВ ориентировочной протяженностью 0,36 км для электроснабжения КНС в 14 мкр. города Югорска  (H_ТПЮг-0069)</t>
  </si>
  <si>
    <t>ЛЭП 0,4 кВ (0,36 км)</t>
  </si>
  <si>
    <t>Строительство КТП 10/0,4 кВ мощностью 0,8 МВА, ЛЭП 10-0,4 кВ ориентировочной протяженностью 0,45 км для электроснабжения жилого дома по ул. Мира, 51 в г. Югорск (N_ТПЮг-0746)</t>
  </si>
  <si>
    <t>ТП 10/0,4 кВ (0,8 МВА), 
ЛЭП 10-04 кВ 
(0,45 км)</t>
  </si>
  <si>
    <t>Строительство КТП 10/0,4 кВ мощностью 0,8 МВА, ЛЭП 10 кВ ориентировочной протяженностью 0,5 км для электроснабжения  многоквартирного жилого дома по ул. Мира, 55 в г. Югорске (H_ТПЮг-0128)</t>
  </si>
  <si>
    <t>ТП 10/0,4 кВ (0,8 МВА), 
ЛЭП 10-04 кВ 
(0,5 км)</t>
  </si>
  <si>
    <t>Строительство КЛ 0,4 кВ ориентировочной протяженностью 0,1 км для электроснабжения многоквартирного жилого дома по ул. Магистральная, 21 в  г. Югорске (H_ТПЮг-0066)</t>
  </si>
  <si>
    <t>КЛ 0,4 кВ (0,1 км)</t>
  </si>
  <si>
    <t>Сети электроснабжения музейно-туристического комплекса "Ворота в Югру" в городе Югорске (I_ТПЮг-0140)</t>
  </si>
  <si>
    <t xml:space="preserve"> -</t>
  </si>
  <si>
    <t>2017-2025</t>
  </si>
  <si>
    <t>Строительство КТП 10/0,4 кВ мощностью 0,4 МВА, ЛЭП 10 кВ ориентировочной протяженностью 0,5 км для электроснабжения  предприятия растениеводства (Зеленая зона) в г. Югорске (H_ТПЮг-0138)</t>
  </si>
  <si>
    <t>ТП 10/0,4 кВ (0,4 МВА), 
ЛЭП 10 кВ 
(0,5 км)</t>
  </si>
  <si>
    <t>Строительство КТП 10/0,4 кВ мощностью 1,26 МВА, ЛЭП 10 кВ ориентировочной протяженностью 0,25 км для электроснабжения общеобразовательной школы на 1000 мест в г. Югорске (H_ТПЮг-0135)</t>
  </si>
  <si>
    <t>ТП 10/0,4 кВ (1,26 МВА), 
ЛЭП 10 кВ 
(0,25 км)</t>
  </si>
  <si>
    <t>Строительство ВЛ-10 кВ ориентировочной протяженностью 5,8 км фидер "Нижний склад" ПС 110/10 кВ "Геологическая" в г. Югорск (M_СЮг-0627)</t>
  </si>
  <si>
    <t>ЛЭП 10 кВ 
(5,8 км)</t>
  </si>
  <si>
    <t>2026-2028</t>
  </si>
  <si>
    <t>Строительство ВЛ-10 кВ фидер "Лесозавод" ПС 110/10 кВ "Геологическая" в г. Югорск (M_СЮг-0628)</t>
  </si>
  <si>
    <t>ЛЭП 10 кВ</t>
  </si>
  <si>
    <t>Строительство КЛ 10 кВ ориентировочной протяженностью 1,591 км для перевода нагрузок с ТП№9-8-7 на РП-10 №9-8-12 в г. Югорск (M_СЮг-0630)</t>
  </si>
  <si>
    <t>КЛ 10 кВ (1,591 км)</t>
  </si>
  <si>
    <t>Создание точек учета розничного рынка электроэнергии г. Югорск (J_ПУХМАО-0277)</t>
  </si>
  <si>
    <t>2023-2027</t>
  </si>
  <si>
    <t>Реконструкция ПС 110/10 кВ  Геологическая (реконструкция инженерно-технических средств охраны (системы видеонаблюдения, охраны периметра по программе "Антитеррор")) (F_TP2100.PR.0027)</t>
  </si>
  <si>
    <t>Инвест.программа АО "Россети Тюмень" на 2023-2027 годы</t>
  </si>
  <si>
    <t>Котельная №2</t>
  </si>
  <si>
    <t>3.1.1.</t>
  </si>
  <si>
    <t>3.1.2.</t>
  </si>
  <si>
    <t>Гкал/м2</t>
  </si>
  <si>
    <t>3.1.3.</t>
  </si>
  <si>
    <t>3.1.4.</t>
  </si>
  <si>
    <t>3.1.5.</t>
  </si>
  <si>
    <t>Резерв/дефицит мощности источников теплоснабжения потребителей</t>
  </si>
  <si>
    <t>3.1.6.</t>
  </si>
  <si>
    <t>Доля резерва/дефицита мощности источников теплоснабжения потребителей</t>
  </si>
  <si>
    <t>Котельная №3</t>
  </si>
  <si>
    <t>3.2.1.</t>
  </si>
  <si>
    <t>3.2.2.</t>
  </si>
  <si>
    <t>3.2.3.</t>
  </si>
  <si>
    <t>3.2.4.</t>
  </si>
  <si>
    <t>3.2.5.</t>
  </si>
  <si>
    <t>3.2.6.</t>
  </si>
  <si>
    <t>Котельная №6</t>
  </si>
  <si>
    <t>3.3.1.</t>
  </si>
  <si>
    <t>3.3.2.</t>
  </si>
  <si>
    <t>3.3.3.</t>
  </si>
  <si>
    <t>3.3.4.</t>
  </si>
  <si>
    <t>3.3.5.</t>
  </si>
  <si>
    <t>3.3.6.</t>
  </si>
  <si>
    <t>Котельная №7</t>
  </si>
  <si>
    <t>3.4.1.</t>
  </si>
  <si>
    <t>3.4.2.</t>
  </si>
  <si>
    <t>3.4.3.</t>
  </si>
  <si>
    <t>3.4.4.</t>
  </si>
  <si>
    <t>3.4.5.</t>
  </si>
  <si>
    <t>3.4.6.</t>
  </si>
  <si>
    <t>Котельная №8</t>
  </si>
  <si>
    <t>3.5.1.</t>
  </si>
  <si>
    <t>3.5.2.</t>
  </si>
  <si>
    <t>3.5.3.</t>
  </si>
  <si>
    <t>3.5.4.</t>
  </si>
  <si>
    <t>3.5.5.</t>
  </si>
  <si>
    <t>3.5.6.</t>
  </si>
  <si>
    <t>Котельная №9</t>
  </si>
  <si>
    <t>3.6.1.</t>
  </si>
  <si>
    <t>3.6.2.</t>
  </si>
  <si>
    <t>3.6.3.</t>
  </si>
  <si>
    <t>3.6.4.</t>
  </si>
  <si>
    <t>3.6.5.</t>
  </si>
  <si>
    <t>3.6.6.</t>
  </si>
  <si>
    <t>Котельная №10</t>
  </si>
  <si>
    <t>3.7.1.</t>
  </si>
  <si>
    <t>3.7.2.</t>
  </si>
  <si>
    <t>3.7.3.</t>
  </si>
  <si>
    <t>3.7.4.</t>
  </si>
  <si>
    <t>3.7.5.</t>
  </si>
  <si>
    <t>3.7.6.</t>
  </si>
  <si>
    <t>Котельная №11</t>
  </si>
  <si>
    <t>3.8.1.</t>
  </si>
  <si>
    <t>3.8.2.</t>
  </si>
  <si>
    <t>3.8.3.</t>
  </si>
  <si>
    <t>3.8.4.</t>
  </si>
  <si>
    <t>3.8.5.</t>
  </si>
  <si>
    <t>3.8.6.</t>
  </si>
  <si>
    <t>Котельная №12</t>
  </si>
  <si>
    <t>3.9.1.</t>
  </si>
  <si>
    <t>3.9.2.</t>
  </si>
  <si>
    <t>3.9.3.</t>
  </si>
  <si>
    <t>3.9.4.</t>
  </si>
  <si>
    <t>3.9.5.</t>
  </si>
  <si>
    <t>3.9.6.</t>
  </si>
  <si>
    <t>Котельная №14</t>
  </si>
  <si>
    <t>3.10.1.</t>
  </si>
  <si>
    <t>3.10.2.</t>
  </si>
  <si>
    <t>3.10.3.</t>
  </si>
  <si>
    <t>3.10.4.</t>
  </si>
  <si>
    <t>3.10.5.</t>
  </si>
  <si>
    <t>3.10.6.</t>
  </si>
  <si>
    <t>Котельная №17</t>
  </si>
  <si>
    <t>3.11.1.</t>
  </si>
  <si>
    <t>3.11.2.</t>
  </si>
  <si>
    <t>3.11.3.</t>
  </si>
  <si>
    <t>3.11.4.</t>
  </si>
  <si>
    <t>3.11.5.</t>
  </si>
  <si>
    <t>3.11.6.</t>
  </si>
  <si>
    <t>Котельная №18</t>
  </si>
  <si>
    <t>3.12.1.</t>
  </si>
  <si>
    <t>3.12.2.</t>
  </si>
  <si>
    <t>3.12.3.</t>
  </si>
  <si>
    <t>3.12.4.</t>
  </si>
  <si>
    <t>3.12.5.</t>
  </si>
  <si>
    <t>3.12.6.</t>
  </si>
  <si>
    <t>Котельная №19</t>
  </si>
  <si>
    <t>3.13.1.</t>
  </si>
  <si>
    <t>3.13.2.</t>
  </si>
  <si>
    <t>3.13.3.</t>
  </si>
  <si>
    <t>3.13.4.</t>
  </si>
  <si>
    <t>3.13.5.</t>
  </si>
  <si>
    <t>3.13.6.</t>
  </si>
  <si>
    <t>Котельная №22</t>
  </si>
  <si>
    <t>3.14.1.</t>
  </si>
  <si>
    <t>3.14.2.</t>
  </si>
  <si>
    <t>3.14.3.</t>
  </si>
  <si>
    <t>3.14.4.</t>
  </si>
  <si>
    <t>3.14.5.</t>
  </si>
  <si>
    <t>3.14.6.</t>
  </si>
  <si>
    <t>Котельная №25</t>
  </si>
  <si>
    <t>3.15.1.</t>
  </si>
  <si>
    <t>3.15.2.</t>
  </si>
  <si>
    <t>3.15.3.</t>
  </si>
  <si>
    <t>3.15.4.</t>
  </si>
  <si>
    <t>3.15.5.</t>
  </si>
  <si>
    <t>3.15.6.</t>
  </si>
  <si>
    <t>Котельная № 1 «Центральная»</t>
  </si>
  <si>
    <t>3.16.1.</t>
  </si>
  <si>
    <t>3.16.2.</t>
  </si>
  <si>
    <t>3.16.3.</t>
  </si>
  <si>
    <t>3.16.4.</t>
  </si>
  <si>
    <t>3.16.5.</t>
  </si>
  <si>
    <t>3.16.6.</t>
  </si>
  <si>
    <t>Котельная № 2 «Западная»</t>
  </si>
  <si>
    <t>3.17.1.</t>
  </si>
  <si>
    <t>3.17.2.</t>
  </si>
  <si>
    <t>3.17.3.</t>
  </si>
  <si>
    <t>3.17.4.</t>
  </si>
  <si>
    <t>3.17.5.</t>
  </si>
  <si>
    <t>3.17.6.</t>
  </si>
  <si>
    <t>Котельная № 3 «Северная»</t>
  </si>
  <si>
    <t>3.18.1.</t>
  </si>
  <si>
    <t>3.18.2.</t>
  </si>
  <si>
    <t>3.18.3.</t>
  </si>
  <si>
    <t>3.18.4.</t>
  </si>
  <si>
    <t>3.18.5.</t>
  </si>
  <si>
    <t>3.18.6.</t>
  </si>
  <si>
    <t>Котельная № 4 «Калининская»</t>
  </si>
  <si>
    <t>3.19.1.</t>
  </si>
  <si>
    <t>3.19.2.</t>
  </si>
  <si>
    <t>3.19.3.</t>
  </si>
  <si>
    <t>3.19.4.</t>
  </si>
  <si>
    <t>3.19.5.</t>
  </si>
  <si>
    <t>3.19.6.</t>
  </si>
  <si>
    <t>Котельная № 6 «Южная»</t>
  </si>
  <si>
    <t>3.20.1.</t>
  </si>
  <si>
    <t>3.20.2.</t>
  </si>
  <si>
    <t>3.20.3.</t>
  </si>
  <si>
    <t>3.20.4.</t>
  </si>
  <si>
    <t>3.20.5.</t>
  </si>
  <si>
    <t>3.20.6.</t>
  </si>
  <si>
    <t>Котельная №8 «Свердловская»</t>
  </si>
  <si>
    <t>3.21.1.</t>
  </si>
  <si>
    <t>3.21.2.</t>
  </si>
  <si>
    <t>3.21.3.</t>
  </si>
  <si>
    <t>3.21.4.</t>
  </si>
  <si>
    <t>3.21.5.</t>
  </si>
  <si>
    <t>3.21.6.</t>
  </si>
  <si>
    <t>Котельная № 9 «Гарнизонная»</t>
  </si>
  <si>
    <t>3.22.1.</t>
  </si>
  <si>
    <t>3.22.2.</t>
  </si>
  <si>
    <t>3.22.3.</t>
  </si>
  <si>
    <t>3.22.4.</t>
  </si>
  <si>
    <t>3.22.5.</t>
  </si>
  <si>
    <t>3.22.6.</t>
  </si>
  <si>
    <t>5.</t>
  </si>
  <si>
    <t>6.</t>
  </si>
  <si>
    <t>Превышение ПДВ в атмосферу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</si>
  <si>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</si>
  <si>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</si>
  <si>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</si>
  <si>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</si>
  <si>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</si>
  <si>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</si>
  <si>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</si>
  <si>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</si>
  <si>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</si>
  <si>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</si>
  <si>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</si>
  <si>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</si>
  <si>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</si>
  <si>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</si>
  <si>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</si>
  <si>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</si>
  <si>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</si>
  <si>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</si>
  <si>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</si>
  <si>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 xml:space="preserve">АО "Югра-Экология" </t>
  </si>
  <si>
    <t>Спрос на ГВС</t>
  </si>
  <si>
    <t>Потребление горячей воды, всего</t>
  </si>
  <si>
    <t>Прирост горячей воды, всего</t>
  </si>
  <si>
    <t>Потребление электрической энергии</t>
  </si>
  <si>
    <t>1.1.1.</t>
  </si>
  <si>
    <t>Прирост потребления электрической энергии</t>
  </si>
  <si>
    <t>1.2.1.</t>
  </si>
  <si>
    <t>Показатели эффективности производства, передачи и потребления электроэнергии:</t>
  </si>
  <si>
    <t>Уровень потерь электрической энергии в электрических сетях</t>
  </si>
  <si>
    <t>Показатели надежности системы электроснабжения:</t>
  </si>
  <si>
    <t>Показатель средней продолжительности прекращений передачи электрической энергии наточку поставки (Пsaidi) *</t>
  </si>
  <si>
    <t>час.</t>
  </si>
  <si>
    <t>Показатель средней частоты прекращений передачи электрической энергии на точку поставки (Пsaifi) *</t>
  </si>
  <si>
    <t>шт.</t>
  </si>
  <si>
    <t>4.3</t>
  </si>
  <si>
    <t>4.4</t>
  </si>
  <si>
    <t>Прочие показатели</t>
  </si>
  <si>
    <t>Доля светодиодных источников света в системе наружного (уличного) освещения города</t>
  </si>
  <si>
    <t>Новые нагрузки (присоединяемая мощность)</t>
  </si>
  <si>
    <t>Прирост новых нагрузкок (присоединяемая мощность)</t>
  </si>
  <si>
    <t>Потребляемая (средняя) электрическая мощность</t>
  </si>
  <si>
    <t>Максимум электрической мощности</t>
  </si>
  <si>
    <t xml:space="preserve">Уровень оснащенности потребителей приборами учета в составе интеллектуальных систем учета электрической энергии (ИСУЭ) </t>
  </si>
  <si>
    <t>Уровень оснащенности потребителей приборами учета ХВС (население)</t>
  </si>
  <si>
    <t>Уровень оснащенности потребителей приборами учета ХВС (бюджетные организации)</t>
  </si>
  <si>
    <t>Уровень оснащенности потребителей приборами учета ХВС (прочим)</t>
  </si>
  <si>
    <t>Уровень оснащенности потребителей приборами учета ГВС (население)</t>
  </si>
  <si>
    <t>Уровень оснащенности потребителей приборами учета ГВС (бюджетные организации)</t>
  </si>
  <si>
    <t>Уровень оснащенности потребителей приборами учета ГВС (прочим)</t>
  </si>
  <si>
    <t>5.4</t>
  </si>
  <si>
    <t>5.5</t>
  </si>
  <si>
    <t>5.6</t>
  </si>
  <si>
    <t>Численность населения по доходным группам</t>
  </si>
  <si>
    <t>тыс. ед.</t>
  </si>
  <si>
    <t>чел.</t>
  </si>
  <si>
    <t>руб.</t>
  </si>
  <si>
    <t>Годовой прожиточный минимум</t>
  </si>
  <si>
    <t>Субсидии для населения с доходами ниже прожиточного минимума</t>
  </si>
  <si>
    <t>Доля населения с доходами ниже прожиточного минимума</t>
  </si>
  <si>
    <t>Численность населения с доходами ниже прожиточного минимума</t>
  </si>
  <si>
    <t>Величина субсидии на человека</t>
  </si>
  <si>
    <t>Субсидии на человека ниже прожито</t>
  </si>
  <si>
    <t>Числленность населения с доходами выше прожиточного минимума, но ниже 22 %</t>
  </si>
  <si>
    <t>Индексы роста цен производителей</t>
  </si>
  <si>
    <t>Факт</t>
  </si>
  <si>
    <t>Оценка</t>
  </si>
  <si>
    <t>Прогноз</t>
  </si>
  <si>
    <t>ИПЦ среднегодовой</t>
  </si>
  <si>
    <t>Индекс роста цены на водоснабжение/водоотведение, сбор и утилизацию ТКО</t>
  </si>
  <si>
    <t>Индекс роста цены на тепловую энергию</t>
  </si>
  <si>
    <t>Индекс роста цены на электроэнергию для населения</t>
  </si>
  <si>
    <t>Индекс роста цены на газ природный для населения</t>
  </si>
  <si>
    <t>Жилая площадь, всего</t>
  </si>
  <si>
    <t>м2</t>
  </si>
  <si>
    <t>Удельный вес общей площади жилых помещений, оборудованной:</t>
  </si>
  <si>
    <t>Центральным водопроводом</t>
  </si>
  <si>
    <t>Центральным водоотведением (канализацией)</t>
  </si>
  <si>
    <t>Центральным отоплением</t>
  </si>
  <si>
    <t>Центральным горячим водоснабжением</t>
  </si>
  <si>
    <t xml:space="preserve">Средняя жилищная обеспеченность </t>
  </si>
  <si>
    <t>Демографический прогноз</t>
  </si>
  <si>
    <t>система водоснабжения</t>
  </si>
  <si>
    <t>Расходы населения на водоснабжение</t>
  </si>
  <si>
    <t>Полезный отпуск холодной воды населению</t>
  </si>
  <si>
    <t>Среднегодовой тариф (без НДС) на холодную воду</t>
  </si>
  <si>
    <t>руб./ м³</t>
  </si>
  <si>
    <t>Среднегодовой тариф на холодную воду для населения (с НДС)</t>
  </si>
  <si>
    <t>система водоотведения</t>
  </si>
  <si>
    <t>Расходы населения на водоотведение</t>
  </si>
  <si>
    <t>Полезная реализация услуги водоотведения населению</t>
  </si>
  <si>
    <t>Среднегодовой тариф (без НДС) на услуги водоотведения</t>
  </si>
  <si>
    <t>Среднегодовой тариф на услуги водоотведения для населения (с НДС)</t>
  </si>
  <si>
    <t>система газоснабжения (сетевой газ)</t>
  </si>
  <si>
    <t>Расходы населения на газ</t>
  </si>
  <si>
    <t>Полезная реализация услуги газоснабжения</t>
  </si>
  <si>
    <t>Среднегодовой тариф в сфере газоснабжения для населения</t>
  </si>
  <si>
    <t>руб./1000 м³</t>
  </si>
  <si>
    <t>система обращения с ТКО</t>
  </si>
  <si>
    <t>Расходы населения на обращение с ТКО</t>
  </si>
  <si>
    <t>Полезная реализация услуги по обращению с ТКО</t>
  </si>
  <si>
    <t>Среднегодовой тариф в сфере обращения с ТКО для населения (с НДС)</t>
  </si>
  <si>
    <t>система теплоснабжения</t>
  </si>
  <si>
    <t>Расходы населения на теплоснабжение</t>
  </si>
  <si>
    <t>Полезный отпуск тепловой энергии населению</t>
  </si>
  <si>
    <t xml:space="preserve">Среднегодовой тариф на тепловую энергию (без НДС) </t>
  </si>
  <si>
    <t>руб./ Гкал</t>
  </si>
  <si>
    <t xml:space="preserve">Среднегодовой тариф на тепловую энергию для населения (с НДС) </t>
  </si>
  <si>
    <t>система электроснабжения</t>
  </si>
  <si>
    <t>Расходы населения на электроснабжение</t>
  </si>
  <si>
    <t>Полезный отпуск электроэнергии населению, в том числе:</t>
  </si>
  <si>
    <t>млн.кВт·ч</t>
  </si>
  <si>
    <t>в домах, оборудованных стационарными электроплитами</t>
  </si>
  <si>
    <t>в домах, не оборудованных стационарными электроплитами</t>
  </si>
  <si>
    <t>Среднегодовой тариф на электроэнергию для населения, проживающего в домах, не оборудованных стационарными электроплитами (с НДС)</t>
  </si>
  <si>
    <t>руб./кВт·ч</t>
  </si>
  <si>
    <t>Среднегодовой тариф на электроэнергию для населения, проживающего в домах, оборудованных стационарными электроплитами (с НДС)</t>
  </si>
  <si>
    <t>Совокупный платеж населения за КУ (ВС, ВО, ЭС, ТС)</t>
  </si>
  <si>
    <t>млн. руб. /год</t>
  </si>
  <si>
    <t>Совокупный платеж населения за жилищные услуги (без ТКО)</t>
  </si>
  <si>
    <t>Совокупный платеж населения за жилищные услуги (ЖУ)</t>
  </si>
  <si>
    <t>Совокупный платеж населения за ЖКУ (ЖУ+КУ) на человека в месяц</t>
  </si>
  <si>
    <t>руб/чел/мес</t>
  </si>
  <si>
    <t>Годовой прирост</t>
  </si>
  <si>
    <t>Прогноз роста доходов населения</t>
  </si>
  <si>
    <t xml:space="preserve">Среднедушевой доход населения </t>
  </si>
  <si>
    <t>Доля расходов населения на ЖКУ, %</t>
  </si>
  <si>
    <t>Собираемость платежей</t>
  </si>
  <si>
    <t>Бюджетная нагрузка, млн. руб/год</t>
  </si>
  <si>
    <t>Субсидии ресурсоснабжающим организациям на компенсацию разницы между экономически обоснованными тарифами и действующими тарифами для населения</t>
  </si>
  <si>
    <t>Субсидии населению</t>
  </si>
  <si>
    <t xml:space="preserve">Сумма бюджетных выплат </t>
  </si>
  <si>
    <t>Доля расходов на коммунальные услуги в совокупном доходе семьи</t>
  </si>
  <si>
    <t>Размер субсидий на компенсацию межтарифной разницы</t>
  </si>
  <si>
    <t>Выпадающие доходы ТСО по теплоснабжению</t>
  </si>
  <si>
    <t>Выпадающие доходы РСО по водоснабжению</t>
  </si>
  <si>
    <t>Выпадающие доходы РСО по водоотведению</t>
  </si>
  <si>
    <t>Доступность тарифов</t>
  </si>
  <si>
    <t xml:space="preserve">Доля расходов на коммунальные услуги, </t>
  </si>
  <si>
    <t>Уровень собираемости платежей за коммунальные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</si>
</sst>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₽_-;\-* #,##0.00\ _₽_-;_-* &quot;-&quot;??\ _₽_-;_-@_-"/>
    <numFmt numFmtId="164" formatCode="_-* #,##0.00_-;\-* #,##0.00_-;_-* &quot;-&quot;??_-;_-@_-"/>
    <numFmt numFmtId="165" formatCode="0.0%"/>
    <numFmt numFmtId="166" formatCode="#,##0.0"/>
    <numFmt numFmtId="167" formatCode="_-* #,##0.000_-;\-* #,##0.000_-;_-* &quot;-&quot;??_-;_-@_-"/>
    <numFmt numFmtId="168" formatCode="0.000"/>
    <numFmt numFmtId="169" formatCode="0.0"/>
    <numFmt numFmtId="170" formatCode="#,##0.000;;\-"/>
    <numFmt numFmtId="171" formatCode="#,##0.0;;\-"/>
    <numFmt numFmtId="172" formatCode="0.0%;\-0.0%;\-"/>
    <numFmt numFmtId="173" formatCode="#,##0.000,;[Red]\-#,##0.000;\-\ "/>
    <numFmt numFmtId="174" formatCode="0.0%;[Red]\-0.0%;\-"/>
    <numFmt numFmtId="175" formatCode="#,##0.00;;\-"/>
    <numFmt numFmtId="176" formatCode="#,##0.000"/>
  </numFmts>
  <fonts count="59" x14ac:knownFonts="1"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202122"/>
      <name val="Times New Roman"/>
      <family val="1"/>
      <charset val="204"/>
    </font>
    <font>
      <sz val="10"/>
      <name val="Helv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46">
    <xf numFmtId="0" fontId="0" fillId="0" borderId="0"/>
    <xf numFmtId="0" fontId="14" fillId="0" borderId="0" applyFill="0" applyProtection="0"/>
    <xf numFmtId="0" fontId="18" fillId="0" borderId="0"/>
    <xf numFmtId="9" fontId="20" fillId="0" borderId="0" applyFont="0" applyFill="0" applyBorder="0" applyAlignment="0" applyProtection="0"/>
    <xf numFmtId="0" fontId="21" fillId="0" borderId="0"/>
    <xf numFmtId="0" fontId="23" fillId="0" borderId="0">
      <protection locked="0"/>
    </xf>
    <xf numFmtId="0" fontId="22" fillId="0" borderId="0"/>
    <xf numFmtId="0" fontId="22" fillId="0" borderId="0"/>
    <xf numFmtId="0" fontId="18" fillId="0" borderId="0"/>
    <xf numFmtId="0" fontId="25" fillId="0" borderId="0"/>
    <xf numFmtId="0" fontId="26" fillId="0" borderId="0"/>
    <xf numFmtId="0" fontId="27" fillId="0" borderId="0"/>
    <xf numFmtId="0" fontId="13" fillId="0" borderId="0"/>
    <xf numFmtId="0" fontId="32" fillId="0" borderId="0" applyNumberFormat="0" applyFill="0" applyBorder="0" applyAlignment="0" applyProtection="0"/>
    <xf numFmtId="0" fontId="20" fillId="0" borderId="0"/>
    <xf numFmtId="0" fontId="34" fillId="0" borderId="0"/>
    <xf numFmtId="0" fontId="35" fillId="0" borderId="0"/>
    <xf numFmtId="0" fontId="36" fillId="0" borderId="0"/>
    <xf numFmtId="0" fontId="37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0" fontId="18" fillId="0" borderId="0"/>
    <xf numFmtId="0" fontId="12" fillId="0" borderId="0"/>
    <xf numFmtId="0" fontId="44" fillId="0" borderId="0"/>
    <xf numFmtId="0" fontId="37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64" fontId="20" fillId="0" borderId="0" applyFont="0" applyFill="0" applyBorder="0" applyAlignment="0" applyProtection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2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0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0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8" fillId="0" borderId="0"/>
    <xf numFmtId="43" fontId="44" fillId="0" borderId="0" applyFont="0" applyFill="0" applyBorder="0" applyAlignment="0" applyProtection="0"/>
    <xf numFmtId="0" fontId="8" fillId="0" borderId="0"/>
    <xf numFmtId="0" fontId="44" fillId="0" borderId="0"/>
    <xf numFmtId="0" fontId="7" fillId="0" borderId="0"/>
    <xf numFmtId="0" fontId="37" fillId="0" borderId="0"/>
    <xf numFmtId="0" fontId="6" fillId="0" borderId="0"/>
    <xf numFmtId="0" fontId="6" fillId="0" borderId="0"/>
    <xf numFmtId="0" fontId="5" fillId="0" borderId="0"/>
    <xf numFmtId="0" fontId="47" fillId="0" borderId="0"/>
    <xf numFmtId="0" fontId="4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0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0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" fillId="0" borderId="0"/>
    <xf numFmtId="0" fontId="14" fillId="0" borderId="0" applyFill="0" applyProtection="0"/>
    <xf numFmtId="0" fontId="37" fillId="0" borderId="0"/>
    <xf numFmtId="0" fontId="20" fillId="0" borderId="0"/>
    <xf numFmtId="0" fontId="25" fillId="0" borderId="0"/>
    <xf numFmtId="43" fontId="20" fillId="0" borderId="0" applyFont="0" applyFill="0" applyBorder="0" applyAlignment="0" applyProtection="0"/>
    <xf numFmtId="0" fontId="47" fillId="0" borderId="0"/>
  </cellStyleXfs>
  <cellXfs count="484">
    <xf numFmtId="0" fontId="0" fillId="0" borderId="0" xfId="0"/>
    <xf numFmtId="49" fontId="15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13" fillId="0" borderId="0" xfId="12"/>
    <xf numFmtId="0" fontId="15" fillId="0" borderId="0" xfId="19" applyFont="1"/>
    <xf numFmtId="0" fontId="13" fillId="0" borderId="0" xfId="12" applyAlignment="1">
      <alignment horizontal="center" vertical="center"/>
    </xf>
    <xf numFmtId="0" fontId="31" fillId="0" borderId="1" xfId="12" applyFont="1" applyBorder="1" applyAlignment="1">
      <alignment horizontal="left" vertical="center" wrapText="1"/>
    </xf>
    <xf numFmtId="0" fontId="17" fillId="0" borderId="1" xfId="12" applyFont="1" applyBorder="1" applyAlignment="1">
      <alignment horizontal="left" vertical="center" wrapText="1" indent="2"/>
    </xf>
    <xf numFmtId="0" fontId="13" fillId="0" borderId="0" xfId="12" applyAlignment="1">
      <alignment wrapText="1"/>
    </xf>
    <xf numFmtId="3" fontId="24" fillId="0" borderId="1" xfId="19" applyNumberFormat="1" applyFont="1" applyBorder="1" applyAlignment="1">
      <alignment horizontal="center" vertical="center" wrapText="1"/>
    </xf>
    <xf numFmtId="0" fontId="20" fillId="0" borderId="0" xfId="19"/>
    <xf numFmtId="3" fontId="20" fillId="0" borderId="0" xfId="19" applyNumberFormat="1"/>
    <xf numFmtId="0" fontId="24" fillId="0" borderId="1" xfId="19" applyFont="1" applyBorder="1" applyAlignment="1">
      <alignment horizontal="left" vertical="center" wrapText="1"/>
    </xf>
    <xf numFmtId="0" fontId="15" fillId="0" borderId="1" xfId="19" applyFont="1" applyBorder="1" applyAlignment="1">
      <alignment horizontal="left" vertical="center" wrapText="1" indent="2"/>
    </xf>
    <xf numFmtId="4" fontId="20" fillId="0" borderId="0" xfId="19" applyNumberFormat="1"/>
    <xf numFmtId="0" fontId="31" fillId="0" borderId="1" xfId="19" applyFont="1" applyBorder="1" applyAlignment="1">
      <alignment horizontal="left" vertical="center" wrapText="1"/>
    </xf>
    <xf numFmtId="0" fontId="17" fillId="0" borderId="1" xfId="19" applyFont="1" applyBorder="1" applyAlignment="1">
      <alignment horizontal="left" vertical="center" wrapText="1" indent="2"/>
    </xf>
    <xf numFmtId="0" fontId="31" fillId="0" borderId="1" xfId="12" applyFont="1" applyBorder="1" applyAlignment="1">
      <alignment vertical="center" wrapText="1"/>
    </xf>
    <xf numFmtId="3" fontId="13" fillId="0" borderId="0" xfId="12" applyNumberFormat="1"/>
    <xf numFmtId="0" fontId="15" fillId="0" borderId="0" xfId="20" applyFont="1"/>
    <xf numFmtId="4" fontId="15" fillId="0" borderId="0" xfId="20" applyNumberFormat="1" applyFont="1"/>
    <xf numFmtId="49" fontId="13" fillId="0" borderId="0" xfId="12" applyNumberFormat="1"/>
    <xf numFmtId="0" fontId="31" fillId="0" borderId="1" xfId="0" applyFont="1" applyBorder="1" applyAlignment="1">
      <alignment horizontal="center" vertical="center" wrapText="1"/>
    </xf>
    <xf numFmtId="0" fontId="24" fillId="0" borderId="0" xfId="20" applyFont="1"/>
    <xf numFmtId="0" fontId="31" fillId="0" borderId="1" xfId="19" applyFont="1" applyBorder="1" applyAlignment="1">
      <alignment horizontal="center" vertical="center" wrapText="1"/>
    </xf>
    <xf numFmtId="0" fontId="31" fillId="0" borderId="1" xfId="12" applyFont="1" applyBorder="1" applyAlignment="1">
      <alignment horizontal="center" vertical="center" wrapText="1"/>
    </xf>
    <xf numFmtId="49" fontId="31" fillId="0" borderId="1" xfId="12" applyNumberFormat="1" applyFont="1" applyBorder="1" applyAlignment="1">
      <alignment horizontal="center" vertical="center" wrapText="1"/>
    </xf>
    <xf numFmtId="4" fontId="15" fillId="0" borderId="1" xfId="20" applyNumberFormat="1" applyFont="1" applyBorder="1" applyAlignment="1">
      <alignment horizontal="center" vertical="center" wrapText="1"/>
    </xf>
    <xf numFmtId="0" fontId="43" fillId="0" borderId="0" xfId="12" applyFont="1"/>
    <xf numFmtId="0" fontId="43" fillId="0" borderId="0" xfId="12" applyFont="1" applyAlignment="1">
      <alignment horizontal="center" vertical="center"/>
    </xf>
    <xf numFmtId="0" fontId="24" fillId="0" borderId="1" xfId="24" applyFont="1" applyBorder="1" applyAlignment="1">
      <alignment horizontal="center" vertical="center" wrapText="1"/>
    </xf>
    <xf numFmtId="0" fontId="15" fillId="0" borderId="0" xfId="24" applyFont="1" applyAlignment="1">
      <alignment horizontal="center" vertical="center"/>
    </xf>
    <xf numFmtId="0" fontId="24" fillId="0" borderId="1" xfId="24" applyFont="1" applyBorder="1" applyAlignment="1">
      <alignment horizontal="center" vertical="center"/>
    </xf>
    <xf numFmtId="4" fontId="24" fillId="0" borderId="0" xfId="20" applyNumberFormat="1" applyFont="1"/>
    <xf numFmtId="9" fontId="15" fillId="0" borderId="0" xfId="3" applyFont="1"/>
    <xf numFmtId="9" fontId="20" fillId="0" borderId="0" xfId="3"/>
    <xf numFmtId="0" fontId="17" fillId="0" borderId="1" xfId="19" applyFont="1" applyBorder="1" applyAlignment="1">
      <alignment horizontal="center" vertical="center" wrapText="1"/>
    </xf>
    <xf numFmtId="3" fontId="43" fillId="0" borderId="0" xfId="12" applyNumberFormat="1" applyFont="1"/>
    <xf numFmtId="3" fontId="13" fillId="0" borderId="0" xfId="12" applyNumberFormat="1" applyAlignment="1">
      <alignment wrapText="1"/>
    </xf>
    <xf numFmtId="3" fontId="31" fillId="0" borderId="1" xfId="19" applyNumberFormat="1" applyFont="1" applyBorder="1" applyAlignment="1">
      <alignment horizontal="center" vertical="center" wrapText="1"/>
    </xf>
    <xf numFmtId="49" fontId="17" fillId="0" borderId="1" xfId="19" applyNumberFormat="1" applyFont="1" applyBorder="1" applyAlignment="1">
      <alignment horizontal="center" vertical="center" wrapText="1"/>
    </xf>
    <xf numFmtId="0" fontId="15" fillId="0" borderId="1" xfId="19" applyFont="1" applyBorder="1" applyAlignment="1">
      <alignment horizontal="center" vertical="center" wrapText="1"/>
    </xf>
    <xf numFmtId="3" fontId="15" fillId="0" borderId="1" xfId="19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34"/>
    <xf numFmtId="3" fontId="15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7" fillId="3" borderId="1" xfId="0" applyFont="1" applyFill="1" applyBorder="1" applyAlignment="1">
      <alignment horizontal="center" vertical="center" wrapText="1"/>
    </xf>
    <xf numFmtId="3" fontId="31" fillId="2" borderId="1" xfId="19" applyNumberFormat="1" applyFont="1" applyFill="1" applyBorder="1" applyAlignment="1">
      <alignment horizontal="center" vertical="center" wrapText="1"/>
    </xf>
    <xf numFmtId="0" fontId="17" fillId="3" borderId="1" xfId="19" applyFont="1" applyFill="1" applyBorder="1" applyAlignment="1">
      <alignment horizontal="center" vertical="center" wrapText="1"/>
    </xf>
    <xf numFmtId="0" fontId="15" fillId="3" borderId="1" xfId="19" applyFont="1" applyFill="1" applyBorder="1" applyAlignment="1">
      <alignment horizontal="center" vertical="center" wrapText="1"/>
    </xf>
    <xf numFmtId="3" fontId="15" fillId="3" borderId="1" xfId="19" applyNumberFormat="1" applyFont="1" applyFill="1" applyBorder="1" applyAlignment="1">
      <alignment horizontal="center" vertical="center" wrapText="1"/>
    </xf>
    <xf numFmtId="3" fontId="19" fillId="2" borderId="1" xfId="12" applyNumberFormat="1" applyFont="1" applyFill="1" applyBorder="1" applyAlignment="1">
      <alignment horizontal="center" vertical="center" wrapText="1"/>
    </xf>
    <xf numFmtId="49" fontId="17" fillId="3" borderId="1" xfId="24" applyNumberFormat="1" applyFont="1" applyFill="1" applyBorder="1" applyAlignment="1">
      <alignment vertical="center" wrapText="1"/>
    </xf>
    <xf numFmtId="0" fontId="17" fillId="3" borderId="1" xfId="12" applyFont="1" applyFill="1" applyBorder="1" applyAlignment="1">
      <alignment horizontal="center" vertical="center" wrapText="1"/>
    </xf>
    <xf numFmtId="0" fontId="15" fillId="3" borderId="1" xfId="24" applyFont="1" applyFill="1" applyBorder="1" applyAlignment="1">
      <alignment horizontal="center" vertical="center" wrapText="1"/>
    </xf>
    <xf numFmtId="3" fontId="24" fillId="2" borderId="1" xfId="24" applyNumberFormat="1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 wrapText="1"/>
    </xf>
    <xf numFmtId="3" fontId="15" fillId="2" borderId="1" xfId="19" applyNumberFormat="1" applyFont="1" applyFill="1" applyBorder="1" applyAlignment="1">
      <alignment horizontal="center" vertical="center" wrapText="1"/>
    </xf>
    <xf numFmtId="3" fontId="17" fillId="2" borderId="1" xfId="12" applyNumberFormat="1" applyFont="1" applyFill="1" applyBorder="1" applyAlignment="1">
      <alignment horizontal="center" vertical="center" wrapText="1"/>
    </xf>
    <xf numFmtId="3" fontId="15" fillId="2" borderId="1" xfId="12" applyNumberFormat="1" applyFont="1" applyFill="1" applyBorder="1" applyAlignment="1">
      <alignment horizontal="center" vertical="center" wrapText="1"/>
    </xf>
    <xf numFmtId="0" fontId="17" fillId="3" borderId="1" xfId="12" applyFont="1" applyFill="1" applyBorder="1" applyAlignment="1">
      <alignment horizontal="left" vertical="center" wrapText="1" indent="2"/>
    </xf>
    <xf numFmtId="0" fontId="15" fillId="3" borderId="1" xfId="19" applyFont="1" applyFill="1" applyBorder="1" applyAlignment="1">
      <alignment horizontal="left" vertical="center" wrapText="1" indent="2"/>
    </xf>
    <xf numFmtId="3" fontId="31" fillId="2" borderId="1" xfId="12" applyNumberFormat="1" applyFont="1" applyFill="1" applyBorder="1" applyAlignment="1">
      <alignment horizontal="center" vertical="center" wrapText="1"/>
    </xf>
    <xf numFmtId="3" fontId="31" fillId="2" borderId="5" xfId="19" applyNumberFormat="1" applyFont="1" applyFill="1" applyBorder="1" applyAlignment="1">
      <alignment horizontal="center" vertical="center" wrapText="1"/>
    </xf>
    <xf numFmtId="0" fontId="20" fillId="3" borderId="1" xfId="19" applyFill="1" applyBorder="1" applyAlignment="1">
      <alignment horizontal="left" vertical="center"/>
    </xf>
    <xf numFmtId="0" fontId="20" fillId="0" borderId="1" xfId="19" applyBorder="1"/>
    <xf numFmtId="0" fontId="20" fillId="5" borderId="0" xfId="19" applyFill="1"/>
    <xf numFmtId="3" fontId="20" fillId="5" borderId="0" xfId="19" applyNumberFormat="1" applyFill="1"/>
    <xf numFmtId="0" fontId="41" fillId="0" borderId="1" xfId="12" applyFont="1" applyBorder="1" applyAlignment="1">
      <alignment vertical="center" wrapText="1"/>
    </xf>
    <xf numFmtId="0" fontId="38" fillId="0" borderId="1" xfId="12" applyFont="1" applyBorder="1" applyAlignment="1">
      <alignment horizontal="left" vertical="center" wrapText="1" indent="1"/>
    </xf>
    <xf numFmtId="0" fontId="38" fillId="0" borderId="1" xfId="12" applyFont="1" applyBorder="1" applyAlignment="1">
      <alignment horizontal="center" vertical="center" wrapText="1"/>
    </xf>
    <xf numFmtId="3" fontId="15" fillId="0" borderId="0" xfId="19" applyNumberFormat="1" applyFont="1"/>
    <xf numFmtId="3" fontId="24" fillId="2" borderId="1" xfId="19" applyNumberFormat="1" applyFont="1" applyFill="1" applyBorder="1" applyAlignment="1">
      <alignment horizontal="center" vertical="center" wrapText="1"/>
    </xf>
    <xf numFmtId="3" fontId="41" fillId="2" borderId="1" xfId="12" applyNumberFormat="1" applyFont="1" applyFill="1" applyBorder="1" applyAlignment="1">
      <alignment horizontal="center" vertical="center" wrapText="1"/>
    </xf>
    <xf numFmtId="3" fontId="38" fillId="2" borderId="1" xfId="12" applyNumberFormat="1" applyFont="1" applyFill="1" applyBorder="1" applyAlignment="1">
      <alignment horizontal="center" vertical="center" wrapText="1"/>
    </xf>
    <xf numFmtId="3" fontId="15" fillId="5" borderId="1" xfId="19" applyNumberFormat="1" applyFont="1" applyFill="1" applyBorder="1" applyAlignment="1">
      <alignment horizontal="center" vertical="center" wrapText="1"/>
    </xf>
    <xf numFmtId="4" fontId="15" fillId="2" borderId="1" xfId="20" applyNumberFormat="1" applyFont="1" applyFill="1" applyBorder="1" applyAlignment="1">
      <alignment horizontal="center" vertical="center"/>
    </xf>
    <xf numFmtId="0" fontId="15" fillId="2" borderId="1" xfId="20" applyFont="1" applyFill="1" applyBorder="1" applyAlignment="1">
      <alignment horizontal="center" vertical="center"/>
    </xf>
    <xf numFmtId="2" fontId="15" fillId="2" borderId="1" xfId="20" applyNumberFormat="1" applyFont="1" applyFill="1" applyBorder="1" applyAlignment="1">
      <alignment horizontal="center" vertical="center"/>
    </xf>
    <xf numFmtId="4" fontId="24" fillId="2" borderId="1" xfId="20" applyNumberFormat="1" applyFont="1" applyFill="1" applyBorder="1" applyAlignment="1">
      <alignment horizontal="center" vertical="center"/>
    </xf>
    <xf numFmtId="0" fontId="31" fillId="0" borderId="1" xfId="24" applyFont="1" applyBorder="1" applyAlignment="1">
      <alignment horizontal="center" vertical="center" wrapText="1"/>
    </xf>
    <xf numFmtId="0" fontId="38" fillId="0" borderId="1" xfId="12" applyFont="1" applyBorder="1" applyAlignment="1">
      <alignment horizontal="left" vertical="center" wrapText="1" indent="2"/>
    </xf>
    <xf numFmtId="3" fontId="31" fillId="2" borderId="1" xfId="24" applyNumberFormat="1" applyFont="1" applyFill="1" applyBorder="1" applyAlignment="1">
      <alignment horizontal="center" vertical="center" wrapText="1"/>
    </xf>
    <xf numFmtId="3" fontId="31" fillId="5" borderId="1" xfId="24" applyNumberFormat="1" applyFont="1" applyFill="1" applyBorder="1" applyAlignment="1">
      <alignment horizontal="center" vertical="center" wrapText="1"/>
    </xf>
    <xf numFmtId="0" fontId="15" fillId="0" borderId="0" xfId="19" applyFont="1" applyAlignment="1">
      <alignment horizontal="center" vertical="center"/>
    </xf>
    <xf numFmtId="0" fontId="17" fillId="0" borderId="7" xfId="0" applyFont="1" applyBorder="1" applyAlignment="1">
      <alignment horizontal="center" vertical="center" wrapText="1"/>
    </xf>
    <xf numFmtId="0" fontId="42" fillId="0" borderId="0" xfId="72" applyFont="1"/>
    <xf numFmtId="0" fontId="5" fillId="0" borderId="0" xfId="72"/>
    <xf numFmtId="3" fontId="20" fillId="6" borderId="1" xfId="19" applyNumberFormat="1" applyFill="1" applyBorder="1" applyAlignment="1">
      <alignment horizontal="center" vertical="center"/>
    </xf>
    <xf numFmtId="3" fontId="15" fillId="2" borderId="1" xfId="20" applyNumberFormat="1" applyFont="1" applyFill="1" applyBorder="1" applyAlignment="1">
      <alignment horizontal="center" vertical="center" wrapText="1"/>
    </xf>
    <xf numFmtId="3" fontId="15" fillId="3" borderId="1" xfId="20" applyNumberFormat="1" applyFont="1" applyFill="1" applyBorder="1" applyAlignment="1">
      <alignment horizontal="center" vertical="center" wrapText="1"/>
    </xf>
    <xf numFmtId="3" fontId="24" fillId="0" borderId="0" xfId="20" applyNumberFormat="1" applyFont="1"/>
    <xf numFmtId="3" fontId="24" fillId="2" borderId="1" xfId="20" applyNumberFormat="1" applyFont="1" applyFill="1" applyBorder="1" applyAlignment="1">
      <alignment horizontal="center" vertical="center"/>
    </xf>
    <xf numFmtId="3" fontId="15" fillId="0" borderId="0" xfId="20" applyNumberFormat="1" applyFont="1"/>
    <xf numFmtId="3" fontId="31" fillId="2" borderId="1" xfId="0" applyNumberFormat="1" applyFont="1" applyFill="1" applyBorder="1" applyAlignment="1">
      <alignment horizontal="center" vertical="center" wrapText="1"/>
    </xf>
    <xf numFmtId="3" fontId="20" fillId="0" borderId="1" xfId="19" applyNumberFormat="1" applyBorder="1"/>
    <xf numFmtId="49" fontId="31" fillId="0" borderId="1" xfId="19" applyNumberFormat="1" applyFont="1" applyBorder="1" applyAlignment="1">
      <alignment horizontal="center" vertical="center" wrapText="1"/>
    </xf>
    <xf numFmtId="49" fontId="15" fillId="0" borderId="0" xfId="19" applyNumberFormat="1" applyFont="1" applyAlignment="1">
      <alignment horizontal="center" vertical="center"/>
    </xf>
    <xf numFmtId="4" fontId="20" fillId="7" borderId="1" xfId="20" applyNumberForma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50" fillId="0" borderId="0" xfId="0" applyFont="1"/>
    <xf numFmtId="0" fontId="51" fillId="0" borderId="0" xfId="0" applyFont="1"/>
    <xf numFmtId="0" fontId="16" fillId="0" borderId="1" xfId="72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0" xfId="72" applyFont="1" applyAlignment="1">
      <alignment horizontal="center" vertical="center"/>
    </xf>
    <xf numFmtId="0" fontId="18" fillId="0" borderId="0" xfId="0" applyFont="1"/>
    <xf numFmtId="3" fontId="31" fillId="5" borderId="1" xfId="12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3" fontId="19" fillId="0" borderId="1" xfId="12" applyNumberFormat="1" applyFont="1" applyBorder="1" applyAlignment="1">
      <alignment horizontal="center" vertical="center" wrapText="1"/>
    </xf>
    <xf numFmtId="49" fontId="19" fillId="0" borderId="1" xfId="12" applyNumberFormat="1" applyFont="1" applyBorder="1" applyAlignment="1">
      <alignment horizontal="center" vertical="center" wrapText="1"/>
    </xf>
    <xf numFmtId="3" fontId="17" fillId="2" borderId="1" xfId="19" applyNumberFormat="1" applyFont="1" applyFill="1" applyBorder="1" applyAlignment="1">
      <alignment horizontal="center" vertical="center" wrapText="1"/>
    </xf>
    <xf numFmtId="3" fontId="19" fillId="5" borderId="1" xfId="19" applyNumberFormat="1" applyFont="1" applyFill="1" applyBorder="1" applyAlignment="1">
      <alignment horizontal="center" vertical="center" wrapText="1"/>
    </xf>
    <xf numFmtId="49" fontId="16" fillId="0" borderId="1" xfId="12" applyNumberFormat="1" applyFont="1" applyBorder="1" applyAlignment="1">
      <alignment horizontal="center" vertical="center" wrapText="1"/>
    </xf>
    <xf numFmtId="0" fontId="16" fillId="0" borderId="1" xfId="12" applyFont="1" applyBorder="1" applyAlignment="1">
      <alignment horizontal="center" vertical="center" wrapText="1"/>
    </xf>
    <xf numFmtId="3" fontId="16" fillId="3" borderId="1" xfId="12" applyNumberFormat="1" applyFont="1" applyFill="1" applyBorder="1" applyAlignment="1">
      <alignment horizontal="center" vertical="center" wrapText="1"/>
    </xf>
    <xf numFmtId="3" fontId="20" fillId="0" borderId="0" xfId="19" applyNumberFormat="1" applyAlignment="1">
      <alignment horizontal="center" vertical="center"/>
    </xf>
    <xf numFmtId="0" fontId="24" fillId="0" borderId="0" xfId="0" applyFont="1" applyAlignment="1">
      <alignment horizontal="center" vertical="center"/>
    </xf>
    <xf numFmtId="4" fontId="15" fillId="0" borderId="0" xfId="20" applyNumberFormat="1" applyFont="1" applyAlignment="1">
      <alignment horizontal="center" vertical="center" wrapText="1"/>
    </xf>
    <xf numFmtId="3" fontId="15" fillId="0" borderId="0" xfId="20" applyNumberFormat="1" applyFont="1" applyAlignment="1">
      <alignment horizontal="center" vertical="center" wrapText="1"/>
    </xf>
    <xf numFmtId="4" fontId="15" fillId="0" borderId="0" xfId="20" applyNumberFormat="1" applyFont="1" applyAlignment="1">
      <alignment horizontal="center" vertical="center"/>
    </xf>
    <xf numFmtId="3" fontId="24" fillId="0" borderId="0" xfId="20" applyNumberFormat="1" applyFont="1" applyAlignment="1">
      <alignment horizontal="center" vertical="center"/>
    </xf>
    <xf numFmtId="0" fontId="15" fillId="0" borderId="0" xfId="20" applyFont="1" applyAlignment="1">
      <alignment vertical="center"/>
    </xf>
    <xf numFmtId="0" fontId="24" fillId="0" borderId="0" xfId="20" applyFont="1" applyAlignment="1">
      <alignment vertical="center" wrapText="1"/>
    </xf>
    <xf numFmtId="4" fontId="24" fillId="0" borderId="0" xfId="20" applyNumberFormat="1" applyFont="1" applyAlignment="1">
      <alignment vertical="center"/>
    </xf>
    <xf numFmtId="0" fontId="24" fillId="0" borderId="0" xfId="0" applyFont="1" applyAlignment="1">
      <alignment vertical="center" wrapText="1"/>
    </xf>
    <xf numFmtId="3" fontId="24" fillId="0" borderId="0" xfId="20" applyNumberFormat="1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2" fontId="15" fillId="0" borderId="0" xfId="20" applyNumberFormat="1" applyFont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vertical="center" wrapText="1"/>
    </xf>
    <xf numFmtId="3" fontId="16" fillId="2" borderId="1" xfId="12" applyNumberFormat="1" applyFont="1" applyFill="1" applyBorder="1" applyAlignment="1">
      <alignment horizontal="center" vertical="center" wrapText="1"/>
    </xf>
    <xf numFmtId="0" fontId="2" fillId="0" borderId="0" xfId="136"/>
    <xf numFmtId="4" fontId="49" fillId="0" borderId="0" xfId="136" applyNumberFormat="1" applyFont="1" applyAlignment="1">
      <alignment horizontal="center" vertical="center"/>
    </xf>
    <xf numFmtId="4" fontId="48" fillId="0" borderId="0" xfId="136" applyNumberFormat="1" applyFont="1" applyAlignment="1">
      <alignment horizontal="center" vertical="center"/>
    </xf>
    <xf numFmtId="0" fontId="48" fillId="0" borderId="0" xfId="136" applyFont="1" applyAlignment="1">
      <alignment horizontal="center" vertical="center" wrapText="1"/>
    </xf>
    <xf numFmtId="0" fontId="2" fillId="0" borderId="0" xfId="136" applyAlignment="1">
      <alignment wrapText="1"/>
    </xf>
    <xf numFmtId="0" fontId="2" fillId="0" borderId="0" xfId="136" applyAlignment="1">
      <alignment horizontal="center" vertical="center"/>
    </xf>
    <xf numFmtId="0" fontId="15" fillId="3" borderId="1" xfId="137" applyFont="1" applyFill="1" applyBorder="1" applyAlignment="1">
      <alignment horizontal="center" vertical="center" wrapText="1"/>
    </xf>
    <xf numFmtId="0" fontId="20" fillId="0" borderId="1" xfId="136" applyFont="1" applyBorder="1" applyAlignment="1">
      <alignment horizontal="center" vertical="center" wrapText="1"/>
    </xf>
    <xf numFmtId="4" fontId="24" fillId="2" borderId="1" xfId="32" applyNumberFormat="1" applyFont="1" applyFill="1" applyBorder="1" applyAlignment="1">
      <alignment horizontal="center" vertical="center"/>
    </xf>
    <xf numFmtId="0" fontId="24" fillId="0" borderId="1" xfId="138" applyFont="1" applyBorder="1" applyAlignment="1">
      <alignment horizontal="center" vertical="center" wrapText="1"/>
    </xf>
    <xf numFmtId="0" fontId="15" fillId="0" borderId="1" xfId="136" applyFont="1" applyBorder="1" applyAlignment="1">
      <alignment horizontal="center" vertical="center" wrapText="1"/>
    </xf>
    <xf numFmtId="0" fontId="24" fillId="0" borderId="1" xfId="136" applyFont="1" applyBorder="1" applyAlignment="1">
      <alignment horizontal="center" vertical="center"/>
    </xf>
    <xf numFmtId="4" fontId="19" fillId="0" borderId="1" xfId="136" applyNumberFormat="1" applyFont="1" applyBorder="1" applyAlignment="1">
      <alignment horizontal="center" vertical="center" wrapText="1"/>
    </xf>
    <xf numFmtId="0" fontId="24" fillId="0" borderId="1" xfId="138" applyFont="1" applyBorder="1" applyAlignment="1">
      <alignment horizontal="center" vertical="center"/>
    </xf>
    <xf numFmtId="49" fontId="15" fillId="0" borderId="1" xfId="138" applyNumberFormat="1" applyFont="1" applyBorder="1" applyAlignment="1">
      <alignment horizontal="center" vertical="center" wrapText="1"/>
    </xf>
    <xf numFmtId="0" fontId="20" fillId="0" borderId="1" xfId="12" applyFont="1" applyBorder="1" applyAlignment="1">
      <alignment horizontal="center" vertical="center" wrapText="1"/>
    </xf>
    <xf numFmtId="0" fontId="0" fillId="0" borderId="1" xfId="12" applyFont="1" applyBorder="1" applyAlignment="1">
      <alignment horizontal="center" vertical="center" wrapText="1"/>
    </xf>
    <xf numFmtId="167" fontId="15" fillId="2" borderId="1" xfId="32" applyNumberFormat="1" applyFont="1" applyFill="1" applyBorder="1" applyAlignment="1">
      <alignment horizontal="center" vertical="center" wrapText="1"/>
    </xf>
    <xf numFmtId="49" fontId="15" fillId="0" borderId="1" xfId="136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3" fontId="15" fillId="2" borderId="1" xfId="144" applyFont="1" applyFill="1" applyBorder="1" applyAlignment="1">
      <alignment horizontal="center" vertical="center"/>
    </xf>
    <xf numFmtId="43" fontId="24" fillId="2" borderId="1" xfId="144" applyFont="1" applyFill="1" applyBorder="1" applyAlignment="1">
      <alignment horizontal="center" vertical="center" wrapText="1"/>
    </xf>
    <xf numFmtId="43" fontId="24" fillId="2" borderId="1" xfId="144" applyFont="1" applyFill="1" applyBorder="1" applyAlignment="1">
      <alignment horizontal="center" vertical="center"/>
    </xf>
    <xf numFmtId="43" fontId="15" fillId="0" borderId="0" xfId="144" applyFont="1"/>
    <xf numFmtId="0" fontId="24" fillId="0" borderId="1" xfId="136" applyFont="1" applyBorder="1" applyAlignment="1">
      <alignment horizontal="center" vertical="center" wrapText="1"/>
    </xf>
    <xf numFmtId="0" fontId="43" fillId="0" borderId="1" xfId="12" applyFont="1" applyBorder="1" applyAlignment="1">
      <alignment horizontal="center" vertical="center"/>
    </xf>
    <xf numFmtId="3" fontId="19" fillId="0" borderId="1" xfId="19" applyNumberFormat="1" applyFont="1" applyBorder="1" applyAlignment="1">
      <alignment horizontal="center" vertical="center" wrapText="1"/>
    </xf>
    <xf numFmtId="3" fontId="19" fillId="3" borderId="1" xfId="19" applyNumberFormat="1" applyFont="1" applyFill="1" applyBorder="1" applyAlignment="1">
      <alignment horizontal="center" vertical="center" wrapText="1"/>
    </xf>
    <xf numFmtId="3" fontId="16" fillId="3" borderId="1" xfId="19" applyNumberFormat="1" applyFont="1" applyFill="1" applyBorder="1" applyAlignment="1">
      <alignment horizontal="center" vertical="center" wrapText="1"/>
    </xf>
    <xf numFmtId="3" fontId="19" fillId="2" borderId="1" xfId="19" applyNumberFormat="1" applyFont="1" applyFill="1" applyBorder="1" applyAlignment="1">
      <alignment horizontal="center" vertical="center" wrapText="1"/>
    </xf>
    <xf numFmtId="3" fontId="53" fillId="0" borderId="0" xfId="19" applyNumberFormat="1" applyFont="1" applyAlignment="1">
      <alignment horizontal="center" vertical="center" wrapText="1"/>
    </xf>
    <xf numFmtId="0" fontId="54" fillId="0" borderId="0" xfId="19" applyFont="1"/>
    <xf numFmtId="165" fontId="20" fillId="0" borderId="0" xfId="3" applyNumberFormat="1"/>
    <xf numFmtId="3" fontId="38" fillId="0" borderId="1" xfId="12" applyNumberFormat="1" applyFont="1" applyBorder="1" applyAlignment="1">
      <alignment horizontal="left" vertical="center" wrapText="1" indent="1"/>
    </xf>
    <xf numFmtId="0" fontId="31" fillId="0" borderId="1" xfId="0" applyFont="1" applyBorder="1" applyAlignment="1">
      <alignment horizontal="center" vertical="center"/>
    </xf>
    <xf numFmtId="0" fontId="10" fillId="0" borderId="1" xfId="34" applyBorder="1"/>
    <xf numFmtId="0" fontId="15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16" fillId="8" borderId="1" xfId="12" applyFont="1" applyFill="1" applyBorder="1" applyAlignment="1">
      <alignment horizontal="center" vertical="center" wrapText="1"/>
    </xf>
    <xf numFmtId="3" fontId="16" fillId="8" borderId="1" xfId="19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4" fontId="16" fillId="8" borderId="1" xfId="12" applyNumberFormat="1" applyFont="1" applyFill="1" applyBorder="1" applyAlignment="1">
      <alignment horizontal="center" vertical="center" wrapText="1"/>
    </xf>
    <xf numFmtId="0" fontId="15" fillId="0" borderId="0" xfId="20" applyFont="1" applyAlignment="1">
      <alignment horizontal="left" vertical="center"/>
    </xf>
    <xf numFmtId="0" fontId="24" fillId="0" borderId="1" xfId="12" applyFont="1" applyBorder="1" applyAlignment="1">
      <alignment horizontal="center" vertical="center" wrapText="1"/>
    </xf>
    <xf numFmtId="0" fontId="15" fillId="8" borderId="1" xfId="19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17" fillId="8" borderId="7" xfId="0" applyFont="1" applyFill="1" applyBorder="1" applyAlignment="1">
      <alignment horizontal="center" vertical="center" wrapText="1"/>
    </xf>
    <xf numFmtId="0" fontId="17" fillId="8" borderId="1" xfId="19" applyFont="1" applyFill="1" applyBorder="1" applyAlignment="1">
      <alignment horizontal="center" vertical="center" wrapText="1"/>
    </xf>
    <xf numFmtId="3" fontId="15" fillId="8" borderId="1" xfId="19" applyNumberFormat="1" applyFont="1" applyFill="1" applyBorder="1" applyAlignment="1">
      <alignment horizontal="center" vertical="center" wrapText="1"/>
    </xf>
    <xf numFmtId="0" fontId="15" fillId="8" borderId="1" xfId="24" applyFont="1" applyFill="1" applyBorder="1" applyAlignment="1">
      <alignment horizontal="center" vertical="center" wrapText="1"/>
    </xf>
    <xf numFmtId="3" fontId="20" fillId="6" borderId="5" xfId="19" applyNumberFormat="1" applyFill="1" applyBorder="1" applyAlignment="1">
      <alignment horizontal="center" vertical="center"/>
    </xf>
    <xf numFmtId="3" fontId="20" fillId="0" borderId="0" xfId="19" applyNumberFormat="1" applyAlignment="1">
      <alignment vertical="center"/>
    </xf>
    <xf numFmtId="0" fontId="15" fillId="3" borderId="5" xfId="20" applyFont="1" applyFill="1" applyBorder="1" applyAlignment="1">
      <alignment horizontal="center" vertical="center"/>
    </xf>
    <xf numFmtId="0" fontId="15" fillId="8" borderId="1" xfId="19" applyFont="1" applyFill="1" applyBorder="1" applyAlignment="1">
      <alignment horizontal="center" vertical="center"/>
    </xf>
    <xf numFmtId="0" fontId="15" fillId="8" borderId="7" xfId="19" applyFont="1" applyFill="1" applyBorder="1" applyAlignment="1">
      <alignment horizontal="center" vertical="center" wrapText="1"/>
    </xf>
    <xf numFmtId="49" fontId="17" fillId="3" borderId="1" xfId="24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1" xfId="72" applyFont="1" applyBorder="1" applyAlignment="1">
      <alignment horizontal="center" vertical="center" wrapText="1"/>
    </xf>
    <xf numFmtId="0" fontId="19" fillId="0" borderId="1" xfId="72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15" fillId="8" borderId="1" xfId="0" applyNumberFormat="1" applyFont="1" applyFill="1" applyBorder="1" applyAlignment="1">
      <alignment horizontal="center" vertical="center"/>
    </xf>
    <xf numFmtId="166" fontId="15" fillId="8" borderId="1" xfId="0" applyNumberFormat="1" applyFont="1" applyFill="1" applyBorder="1" applyAlignment="1">
      <alignment horizontal="center" vertical="center"/>
    </xf>
    <xf numFmtId="168" fontId="17" fillId="8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4"/>
    </xf>
    <xf numFmtId="0" fontId="15" fillId="0" borderId="0" xfId="0" applyFont="1" applyAlignment="1">
      <alignment horizontal="center" vertical="center" wrapText="1"/>
    </xf>
    <xf numFmtId="2" fontId="15" fillId="8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8" borderId="1" xfId="0" applyNumberFormat="1" applyFont="1" applyFill="1" applyBorder="1" applyAlignment="1">
      <alignment horizontal="center" vertical="center"/>
    </xf>
    <xf numFmtId="4" fontId="17" fillId="8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1" fontId="31" fillId="0" borderId="1" xfId="0" applyNumberFormat="1" applyFont="1" applyBorder="1" applyAlignment="1">
      <alignment horizontal="center" vertical="center"/>
    </xf>
    <xf numFmtId="3" fontId="24" fillId="0" borderId="0" xfId="72" applyNumberFormat="1" applyFont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4" fontId="24" fillId="0" borderId="3" xfId="20" applyNumberFormat="1" applyFont="1" applyBorder="1" applyAlignment="1">
      <alignment vertical="center"/>
    </xf>
    <xf numFmtId="4" fontId="24" fillId="0" borderId="4" xfId="2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4" fontId="24" fillId="0" borderId="1" xfId="20" applyNumberFormat="1" applyFont="1" applyBorder="1" applyAlignment="1">
      <alignment vertical="center"/>
    </xf>
    <xf numFmtId="3" fontId="15" fillId="9" borderId="1" xfId="19" applyNumberFormat="1" applyFont="1" applyFill="1" applyBorder="1" applyAlignment="1">
      <alignment horizontal="center" vertical="center" wrapText="1"/>
    </xf>
    <xf numFmtId="166" fontId="15" fillId="9" borderId="1" xfId="19" applyNumberFormat="1" applyFont="1" applyFill="1" applyBorder="1" applyAlignment="1">
      <alignment horizontal="center" vertical="center" wrapText="1"/>
    </xf>
    <xf numFmtId="3" fontId="19" fillId="9" borderId="1" xfId="19" applyNumberFormat="1" applyFont="1" applyFill="1" applyBorder="1" applyAlignment="1">
      <alignment horizontal="center" vertical="center" wrapText="1"/>
    </xf>
    <xf numFmtId="3" fontId="16" fillId="9" borderId="1" xfId="19" applyNumberFormat="1" applyFont="1" applyFill="1" applyBorder="1" applyAlignment="1">
      <alignment horizontal="center" vertical="center" wrapText="1"/>
    </xf>
    <xf numFmtId="169" fontId="15" fillId="8" borderId="1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2" fontId="24" fillId="8" borderId="1" xfId="0" applyNumberFormat="1" applyFont="1" applyFill="1" applyBorder="1" applyAlignment="1">
      <alignment horizontal="center" vertical="center"/>
    </xf>
    <xf numFmtId="168" fontId="17" fillId="8" borderId="1" xfId="0" applyNumberFormat="1" applyFont="1" applyFill="1" applyBorder="1" applyAlignment="1">
      <alignment horizontal="center" vertical="center" wrapText="1"/>
    </xf>
    <xf numFmtId="169" fontId="17" fillId="8" borderId="1" xfId="0" applyNumberFormat="1" applyFont="1" applyFill="1" applyBorder="1" applyAlignment="1">
      <alignment horizontal="center" vertical="center" wrapText="1"/>
    </xf>
    <xf numFmtId="165" fontId="17" fillId="8" borderId="1" xfId="3" applyNumberFormat="1" applyFont="1" applyFill="1" applyBorder="1" applyAlignment="1">
      <alignment horizontal="center" vertical="center" wrapText="1"/>
    </xf>
    <xf numFmtId="9" fontId="15" fillId="8" borderId="1" xfId="3" applyFont="1" applyFill="1" applyBorder="1" applyAlignment="1">
      <alignment horizontal="center" vertical="center" wrapText="1"/>
    </xf>
    <xf numFmtId="0" fontId="15" fillId="8" borderId="1" xfId="12" applyFont="1" applyFill="1" applyBorder="1"/>
    <xf numFmtId="168" fontId="15" fillId="8" borderId="1" xfId="12" applyNumberFormat="1" applyFont="1" applyFill="1" applyBorder="1"/>
    <xf numFmtId="169" fontId="15" fillId="8" borderId="1" xfId="12" applyNumberFormat="1" applyFont="1" applyFill="1" applyBorder="1"/>
    <xf numFmtId="165" fontId="15" fillId="8" borderId="1" xfId="3" applyNumberFormat="1" applyFont="1" applyFill="1" applyBorder="1"/>
    <xf numFmtId="9" fontId="15" fillId="8" borderId="1" xfId="3" applyFont="1" applyFill="1" applyBorder="1"/>
    <xf numFmtId="0" fontId="17" fillId="0" borderId="1" xfId="19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24" fillId="0" borderId="0" xfId="0" applyFont="1"/>
    <xf numFmtId="4" fontId="17" fillId="8" borderId="1" xfId="0" applyNumberFormat="1" applyFont="1" applyFill="1" applyBorder="1" applyAlignment="1">
      <alignment horizontal="center" vertical="center" wrapText="1"/>
    </xf>
    <xf numFmtId="9" fontId="17" fillId="8" borderId="1" xfId="0" applyNumberFormat="1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/>
    </xf>
    <xf numFmtId="10" fontId="15" fillId="8" borderId="1" xfId="0" applyNumberFormat="1" applyFont="1" applyFill="1" applyBorder="1" applyAlignment="1">
      <alignment horizontal="center" vertical="center"/>
    </xf>
    <xf numFmtId="0" fontId="1" fillId="0" borderId="0" xfId="12" applyFont="1"/>
    <xf numFmtId="0" fontId="31" fillId="0" borderId="1" xfId="0" applyFont="1" applyBorder="1" applyAlignment="1">
      <alignment horizontal="center" vertical="center"/>
    </xf>
    <xf numFmtId="0" fontId="15" fillId="8" borderId="1" xfId="0" applyFont="1" applyFill="1" applyBorder="1" applyAlignment="1">
      <alignment horizontal="left" vertical="center" wrapText="1"/>
    </xf>
    <xf numFmtId="0" fontId="19" fillId="8" borderId="1" xfId="72" applyFont="1" applyFill="1" applyBorder="1" applyAlignment="1">
      <alignment horizontal="center" vertical="center" wrapText="1"/>
    </xf>
    <xf numFmtId="3" fontId="19" fillId="8" borderId="1" xfId="72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wrapText="1"/>
    </xf>
    <xf numFmtId="0" fontId="31" fillId="0" borderId="1" xfId="19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4" fontId="0" fillId="0" borderId="0" xfId="0" applyNumberFormat="1"/>
    <xf numFmtId="2" fontId="17" fillId="8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20" fillId="0" borderId="1" xfId="138" applyBorder="1" applyAlignment="1">
      <alignment horizontal="justify" vertical="center"/>
    </xf>
    <xf numFmtId="3" fontId="15" fillId="2" borderId="1" xfId="32" applyNumberFormat="1" applyFont="1" applyFill="1" applyBorder="1" applyAlignment="1">
      <alignment horizontal="center" vertical="center"/>
    </xf>
    <xf numFmtId="3" fontId="15" fillId="2" borderId="1" xfId="144" applyNumberFormat="1" applyFont="1" applyFill="1" applyBorder="1" applyAlignment="1">
      <alignment horizontal="center" vertical="center" wrapText="1"/>
    </xf>
    <xf numFmtId="3" fontId="15" fillId="2" borderId="1" xfId="144" applyNumberFormat="1" applyFont="1" applyFill="1" applyBorder="1" applyAlignment="1">
      <alignment horizontal="center" vertical="center"/>
    </xf>
    <xf numFmtId="166" fontId="15" fillId="2" borderId="1" xfId="32" applyNumberFormat="1" applyFont="1" applyFill="1" applyBorder="1" applyAlignment="1">
      <alignment horizontal="center" vertical="center"/>
    </xf>
    <xf numFmtId="166" fontId="15" fillId="2" borderId="1" xfId="144" applyNumberFormat="1" applyFont="1" applyFill="1" applyBorder="1" applyAlignment="1">
      <alignment horizontal="center" vertical="center" wrapText="1"/>
    </xf>
    <xf numFmtId="166" fontId="24" fillId="2" borderId="1" xfId="144" applyNumberFormat="1" applyFont="1" applyFill="1" applyBorder="1" applyAlignment="1">
      <alignment horizontal="center" vertical="center" wrapText="1"/>
    </xf>
    <xf numFmtId="166" fontId="15" fillId="2" borderId="1" xfId="144" applyNumberFormat="1" applyFont="1" applyFill="1" applyBorder="1" applyAlignment="1">
      <alignment horizontal="center" vertical="center"/>
    </xf>
    <xf numFmtId="166" fontId="24" fillId="2" borderId="1" xfId="32" applyNumberFormat="1" applyFont="1" applyFill="1" applyBorder="1" applyAlignment="1">
      <alignment horizontal="center" vertical="center"/>
    </xf>
    <xf numFmtId="0" fontId="24" fillId="4" borderId="1" xfId="138" applyFont="1" applyFill="1" applyBorder="1" applyAlignment="1">
      <alignment horizontal="center" vertical="center"/>
    </xf>
    <xf numFmtId="3" fontId="24" fillId="2" borderId="1" xfId="32" applyNumberFormat="1" applyFont="1" applyFill="1" applyBorder="1" applyAlignment="1">
      <alignment horizontal="center" vertical="center"/>
    </xf>
    <xf numFmtId="0" fontId="31" fillId="0" borderId="1" xfId="19" applyFont="1" applyBorder="1" applyAlignment="1">
      <alignment horizontal="center" vertical="center" wrapText="1"/>
    </xf>
    <xf numFmtId="0" fontId="15" fillId="8" borderId="3" xfId="0" applyFont="1" applyFill="1" applyBorder="1"/>
    <xf numFmtId="0" fontId="15" fillId="8" borderId="3" xfId="0" applyNumberFormat="1" applyFont="1" applyFill="1" applyBorder="1"/>
    <xf numFmtId="0" fontId="15" fillId="8" borderId="4" xfId="0" applyNumberFormat="1" applyFont="1" applyFill="1" applyBorder="1"/>
    <xf numFmtId="0" fontId="15" fillId="8" borderId="4" xfId="0" applyFont="1" applyFill="1" applyBorder="1"/>
    <xf numFmtId="170" fontId="15" fillId="8" borderId="3" xfId="0" applyNumberFormat="1" applyFont="1" applyFill="1" applyBorder="1"/>
    <xf numFmtId="170" fontId="15" fillId="8" borderId="4" xfId="0" applyNumberFormat="1" applyFont="1" applyFill="1" applyBorder="1"/>
    <xf numFmtId="0" fontId="15" fillId="8" borderId="1" xfId="0" applyFont="1" applyFill="1" applyBorder="1"/>
    <xf numFmtId="4" fontId="15" fillId="8" borderId="1" xfId="0" applyNumberFormat="1" applyFont="1" applyFill="1" applyBorder="1"/>
    <xf numFmtId="170" fontId="15" fillId="8" borderId="1" xfId="0" applyNumberFormat="1" applyFont="1" applyFill="1" applyBorder="1"/>
    <xf numFmtId="171" fontId="15" fillId="8" borderId="1" xfId="0" applyNumberFormat="1" applyFont="1" applyFill="1" applyBorder="1"/>
    <xf numFmtId="172" fontId="15" fillId="8" borderId="1" xfId="0" applyNumberFormat="1" applyFont="1" applyFill="1" applyBorder="1"/>
    <xf numFmtId="173" fontId="15" fillId="8" borderId="1" xfId="0" applyNumberFormat="1" applyFont="1" applyFill="1" applyBorder="1"/>
    <xf numFmtId="174" fontId="15" fillId="8" borderId="1" xfId="0" applyNumberFormat="1" applyFont="1" applyFill="1" applyBorder="1"/>
    <xf numFmtId="175" fontId="15" fillId="8" borderId="1" xfId="0" applyNumberFormat="1" applyFont="1" applyFill="1" applyBorder="1"/>
    <xf numFmtId="168" fontId="15" fillId="8" borderId="1" xfId="0" applyNumberFormat="1" applyFont="1" applyFill="1" applyBorder="1"/>
    <xf numFmtId="0" fontId="15" fillId="0" borderId="2" xfId="0" applyFont="1" applyFill="1" applyBorder="1"/>
    <xf numFmtId="0" fontId="15" fillId="0" borderId="3" xfId="0" applyFont="1" applyFill="1" applyBorder="1" applyAlignment="1">
      <alignment wrapText="1"/>
    </xf>
    <xf numFmtId="0" fontId="15" fillId="0" borderId="3" xfId="0" applyFont="1" applyFill="1" applyBorder="1"/>
    <xf numFmtId="0" fontId="15" fillId="0" borderId="1" xfId="0" applyFont="1" applyFill="1" applyBorder="1"/>
    <xf numFmtId="0" fontId="15" fillId="0" borderId="1" xfId="0" applyFont="1" applyFill="1" applyBorder="1" applyAlignment="1">
      <alignment wrapText="1"/>
    </xf>
    <xf numFmtId="0" fontId="15" fillId="0" borderId="3" xfId="0" applyFont="1" applyFill="1" applyBorder="1" applyAlignment="1">
      <alignment horizontal="left" indent="1"/>
    </xf>
    <xf numFmtId="4" fontId="15" fillId="0" borderId="1" xfId="0" applyNumberFormat="1" applyFont="1" applyFill="1" applyBorder="1" applyAlignment="1">
      <alignment horizontal="left" wrapText="1" indent="2"/>
    </xf>
    <xf numFmtId="170" fontId="15" fillId="0" borderId="1" xfId="0" applyNumberFormat="1" applyFont="1" applyFill="1" applyBorder="1" applyAlignment="1">
      <alignment horizontal="left" wrapText="1" indent="2"/>
    </xf>
    <xf numFmtId="171" fontId="15" fillId="0" borderId="1" xfId="0" applyNumberFormat="1" applyFont="1" applyFill="1" applyBorder="1" applyAlignment="1">
      <alignment horizontal="left" wrapText="1" indent="2"/>
    </xf>
    <xf numFmtId="172" fontId="15" fillId="0" borderId="1" xfId="0" applyNumberFormat="1" applyFont="1" applyFill="1" applyBorder="1" applyAlignment="1">
      <alignment horizontal="left" wrapText="1" indent="2"/>
    </xf>
    <xf numFmtId="173" fontId="15" fillId="0" borderId="1" xfId="0" applyNumberFormat="1" applyFont="1" applyFill="1" applyBorder="1" applyAlignment="1">
      <alignment horizontal="left" wrapText="1" indent="2"/>
    </xf>
    <xf numFmtId="174" fontId="15" fillId="0" borderId="1" xfId="0" applyNumberFormat="1" applyFont="1" applyFill="1" applyBorder="1" applyAlignment="1">
      <alignment horizontal="left" wrapText="1" indent="2"/>
    </xf>
    <xf numFmtId="0" fontId="31" fillId="0" borderId="1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4" fontId="0" fillId="0" borderId="0" xfId="0" applyNumberFormat="1" applyFill="1"/>
    <xf numFmtId="1" fontId="17" fillId="8" borderId="1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 wrapText="1" indent="4"/>
    </xf>
    <xf numFmtId="0" fontId="17" fillId="0" borderId="5" xfId="0" applyFont="1" applyBorder="1" applyAlignment="1">
      <alignment horizontal="center" vertical="center" wrapText="1"/>
    </xf>
    <xf numFmtId="0" fontId="17" fillId="8" borderId="5" xfId="0" applyFont="1" applyFill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3" fontId="17" fillId="0" borderId="1" xfId="34" applyNumberFormat="1" applyFont="1" applyBorder="1" applyAlignment="1">
      <alignment horizontal="left" vertical="center" wrapText="1"/>
    </xf>
    <xf numFmtId="0" fontId="24" fillId="0" borderId="1" xfId="18" applyFont="1" applyBorder="1" applyAlignment="1">
      <alignment horizontal="center" vertical="center"/>
    </xf>
    <xf numFmtId="0" fontId="24" fillId="0" borderId="1" xfId="18" applyFont="1" applyBorder="1" applyAlignment="1">
      <alignment horizontal="center"/>
    </xf>
    <xf numFmtId="0" fontId="19" fillId="0" borderId="1" xfId="18" applyFont="1" applyFill="1" applyBorder="1" applyAlignment="1">
      <alignment horizontal="center" vertical="center"/>
    </xf>
    <xf numFmtId="0" fontId="15" fillId="0" borderId="1" xfId="18" applyFont="1" applyBorder="1" applyAlignment="1">
      <alignment vertical="center" wrapText="1"/>
    </xf>
    <xf numFmtId="0" fontId="15" fillId="0" borderId="1" xfId="18" applyFont="1" applyBorder="1" applyAlignment="1">
      <alignment horizontal="center" vertical="center"/>
    </xf>
    <xf numFmtId="0" fontId="16" fillId="0" borderId="1" xfId="18" applyFont="1" applyFill="1" applyBorder="1" applyAlignment="1">
      <alignment horizontal="center" vertical="center"/>
    </xf>
    <xf numFmtId="4" fontId="16" fillId="0" borderId="1" xfId="18" applyNumberFormat="1" applyFont="1" applyFill="1" applyBorder="1" applyAlignment="1">
      <alignment horizontal="center" vertical="center"/>
    </xf>
    <xf numFmtId="169" fontId="16" fillId="0" borderId="1" xfId="18" applyNumberFormat="1" applyFont="1" applyFill="1" applyBorder="1" applyAlignment="1">
      <alignment horizontal="center" vertical="center"/>
    </xf>
    <xf numFmtId="169" fontId="16" fillId="0" borderId="1" xfId="34" applyNumberFormat="1" applyFont="1" applyFill="1" applyBorder="1" applyAlignment="1">
      <alignment horizontal="center" vertical="center"/>
    </xf>
    <xf numFmtId="0" fontId="15" fillId="0" borderId="1" xfId="18" applyFont="1" applyBorder="1" applyAlignment="1">
      <alignment vertical="center"/>
    </xf>
    <xf numFmtId="166" fontId="16" fillId="0" borderId="1" xfId="18" applyNumberFormat="1" applyFont="1" applyFill="1" applyBorder="1" applyAlignment="1">
      <alignment horizontal="center" vertical="center"/>
    </xf>
    <xf numFmtId="3" fontId="16" fillId="0" borderId="1" xfId="18" applyNumberFormat="1" applyFont="1" applyFill="1" applyBorder="1" applyAlignment="1">
      <alignment horizontal="center" vertical="center"/>
    </xf>
    <xf numFmtId="0" fontId="15" fillId="0" borderId="1" xfId="18" applyFont="1" applyBorder="1" applyAlignment="1">
      <alignment horizontal="center"/>
    </xf>
    <xf numFmtId="0" fontId="43" fillId="0" borderId="1" xfId="34" applyFont="1" applyFill="1" applyBorder="1"/>
    <xf numFmtId="0" fontId="19" fillId="0" borderId="1" xfId="34" applyFont="1" applyFill="1" applyBorder="1" applyAlignment="1">
      <alignment horizontal="center" vertical="center"/>
    </xf>
    <xf numFmtId="0" fontId="43" fillId="0" borderId="0" xfId="34" applyFont="1" applyFill="1"/>
    <xf numFmtId="0" fontId="24" fillId="0" borderId="1" xfId="34" applyFont="1" applyBorder="1" applyAlignment="1">
      <alignment horizontal="center" vertical="center"/>
    </xf>
    <xf numFmtId="0" fontId="15" fillId="0" borderId="1" xfId="34" applyFont="1" applyBorder="1" applyAlignment="1">
      <alignment horizontal="center" vertical="center" wrapText="1"/>
    </xf>
    <xf numFmtId="0" fontId="15" fillId="0" borderId="1" xfId="34" applyFont="1" applyBorder="1" applyAlignment="1">
      <alignment horizontal="center" vertical="center"/>
    </xf>
    <xf numFmtId="165" fontId="16" fillId="0" borderId="1" xfId="34" applyNumberFormat="1" applyFont="1" applyFill="1" applyBorder="1" applyAlignment="1">
      <alignment horizontal="center" vertical="center"/>
    </xf>
    <xf numFmtId="4" fontId="16" fillId="0" borderId="1" xfId="34" applyNumberFormat="1" applyFont="1" applyFill="1" applyBorder="1" applyAlignment="1">
      <alignment horizontal="center" vertical="center"/>
    </xf>
    <xf numFmtId="0" fontId="16" fillId="0" borderId="1" xfId="34" applyFont="1" applyFill="1" applyBorder="1" applyAlignment="1">
      <alignment horizontal="center" vertical="center"/>
    </xf>
    <xf numFmtId="3" fontId="16" fillId="0" borderId="1" xfId="34" applyNumberFormat="1" applyFont="1" applyFill="1" applyBorder="1" applyAlignment="1">
      <alignment horizontal="center" vertical="center"/>
    </xf>
    <xf numFmtId="166" fontId="16" fillId="0" borderId="1" xfId="35" applyNumberFormat="1" applyFont="1" applyFill="1" applyBorder="1" applyAlignment="1">
      <alignment horizontal="center" vertical="center"/>
    </xf>
    <xf numFmtId="10" fontId="43" fillId="0" borderId="0" xfId="34" applyNumberFormat="1" applyFont="1" applyFill="1" applyAlignment="1">
      <alignment horizontal="center"/>
    </xf>
    <xf numFmtId="0" fontId="19" fillId="0" borderId="1" xfId="145" applyFont="1" applyFill="1" applyBorder="1" applyAlignment="1">
      <alignment horizontal="center" vertical="center" wrapText="1"/>
    </xf>
    <xf numFmtId="0" fontId="31" fillId="0" borderId="1" xfId="34" applyFont="1" applyBorder="1" applyAlignment="1">
      <alignment horizontal="center" vertical="center" wrapText="1"/>
    </xf>
    <xf numFmtId="0" fontId="15" fillId="0" borderId="1" xfId="34" applyFont="1" applyBorder="1" applyAlignment="1">
      <alignment vertical="center" wrapText="1"/>
    </xf>
    <xf numFmtId="0" fontId="15" fillId="0" borderId="1" xfId="34" applyFont="1" applyBorder="1" applyAlignment="1">
      <alignment wrapText="1"/>
    </xf>
    <xf numFmtId="168" fontId="16" fillId="0" borderId="1" xfId="34" applyNumberFormat="1" applyFont="1" applyFill="1" applyBorder="1" applyAlignment="1">
      <alignment horizontal="center" vertical="center" wrapText="1"/>
    </xf>
    <xf numFmtId="168" fontId="16" fillId="0" borderId="7" xfId="0" applyNumberFormat="1" applyFont="1" applyFill="1" applyBorder="1" applyAlignment="1">
      <alignment horizontal="center" vertical="center"/>
    </xf>
    <xf numFmtId="0" fontId="16" fillId="0" borderId="7" xfId="34" applyFont="1" applyFill="1" applyBorder="1" applyAlignment="1">
      <alignment wrapText="1"/>
    </xf>
    <xf numFmtId="0" fontId="17" fillId="0" borderId="1" xfId="34" applyFont="1" applyBorder="1" applyAlignment="1">
      <alignment horizontal="center" vertical="center" wrapText="1"/>
    </xf>
    <xf numFmtId="0" fontId="15" fillId="0" borderId="0" xfId="34" applyFont="1" applyAlignment="1">
      <alignment horizontal="center" wrapText="1"/>
    </xf>
    <xf numFmtId="3" fontId="16" fillId="0" borderId="1" xfId="34" applyNumberFormat="1" applyFont="1" applyFill="1" applyBorder="1" applyAlignment="1">
      <alignment horizontal="center" vertical="center" wrapText="1"/>
    </xf>
    <xf numFmtId="0" fontId="17" fillId="0" borderId="1" xfId="34" applyFont="1" applyBorder="1" applyAlignment="1">
      <alignment vertical="center" wrapText="1"/>
    </xf>
    <xf numFmtId="166" fontId="17" fillId="0" borderId="1" xfId="34" applyNumberFormat="1" applyFont="1" applyBorder="1" applyAlignment="1">
      <alignment horizontal="center" vertical="center" wrapText="1"/>
    </xf>
    <xf numFmtId="0" fontId="19" fillId="0" borderId="1" xfId="34" applyFont="1" applyFill="1" applyBorder="1" applyAlignment="1">
      <alignment horizontal="center" vertical="center" wrapText="1"/>
    </xf>
    <xf numFmtId="0" fontId="17" fillId="0" borderId="1" xfId="34" applyFont="1" applyBorder="1" applyAlignment="1">
      <alignment horizontal="left" vertical="center" wrapText="1" indent="3"/>
    </xf>
    <xf numFmtId="166" fontId="16" fillId="0" borderId="1" xfId="34" applyNumberFormat="1" applyFont="1" applyFill="1" applyBorder="1" applyAlignment="1">
      <alignment horizontal="center" vertical="center" wrapText="1"/>
    </xf>
    <xf numFmtId="165" fontId="16" fillId="0" borderId="1" xfId="35" applyNumberFormat="1" applyFont="1" applyFill="1" applyBorder="1" applyAlignment="1">
      <alignment horizontal="center" vertical="center" wrapText="1"/>
    </xf>
    <xf numFmtId="0" fontId="15" fillId="0" borderId="1" xfId="34" applyFont="1" applyBorder="1" applyAlignment="1">
      <alignment horizontal="left" vertical="center"/>
    </xf>
    <xf numFmtId="4" fontId="16" fillId="0" borderId="1" xfId="34" applyNumberFormat="1" applyFont="1" applyFill="1" applyBorder="1" applyAlignment="1">
      <alignment horizontal="center" vertical="center" wrapText="1"/>
    </xf>
    <xf numFmtId="0" fontId="31" fillId="0" borderId="0" xfId="34" applyFont="1" applyAlignment="1">
      <alignment horizontal="center" vertical="center" wrapText="1"/>
    </xf>
    <xf numFmtId="0" fontId="19" fillId="0" borderId="0" xfId="34" applyFont="1" applyFill="1" applyAlignment="1">
      <alignment horizontal="center" vertical="center" wrapText="1"/>
    </xf>
    <xf numFmtId="0" fontId="31" fillId="0" borderId="1" xfId="34" applyFont="1" applyBorder="1" applyAlignment="1">
      <alignment vertical="center" wrapText="1"/>
    </xf>
    <xf numFmtId="0" fontId="17" fillId="0" borderId="1" xfId="34" applyFont="1" applyBorder="1" applyAlignment="1">
      <alignment horizontal="left" vertical="center" wrapText="1"/>
    </xf>
    <xf numFmtId="2" fontId="16" fillId="0" borderId="1" xfId="34" applyNumberFormat="1" applyFont="1" applyFill="1" applyBorder="1" applyAlignment="1">
      <alignment horizontal="center" vertical="center" wrapText="1"/>
    </xf>
    <xf numFmtId="0" fontId="31" fillId="0" borderId="1" xfId="34" applyFont="1" applyBorder="1" applyAlignment="1">
      <alignment horizontal="left" vertical="center" wrapText="1"/>
    </xf>
    <xf numFmtId="0" fontId="19" fillId="0" borderId="1" xfId="34" applyFont="1" applyFill="1" applyBorder="1" applyAlignment="1">
      <alignment vertical="center" wrapText="1"/>
    </xf>
    <xf numFmtId="3" fontId="17" fillId="0" borderId="1" xfId="34" applyNumberFormat="1" applyFont="1" applyBorder="1" applyAlignment="1">
      <alignment horizontal="center" vertical="center" wrapText="1"/>
    </xf>
    <xf numFmtId="166" fontId="56" fillId="0" borderId="1" xfId="34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center" vertical="center" wrapText="1"/>
    </xf>
    <xf numFmtId="4" fontId="16" fillId="0" borderId="5" xfId="34" applyNumberFormat="1" applyFont="1" applyFill="1" applyBorder="1" applyAlignment="1">
      <alignment horizontal="center" vertical="center" wrapText="1"/>
    </xf>
    <xf numFmtId="0" fontId="17" fillId="0" borderId="1" xfId="34" applyFont="1" applyBorder="1" applyAlignment="1">
      <alignment horizontal="left" vertical="center"/>
    </xf>
    <xf numFmtId="0" fontId="17" fillId="0" borderId="1" xfId="34" applyFont="1" applyBorder="1" applyAlignment="1">
      <alignment horizontal="center" vertical="center"/>
    </xf>
    <xf numFmtId="166" fontId="16" fillId="0" borderId="1" xfId="34" applyNumberFormat="1" applyFont="1" applyFill="1" applyBorder="1" applyAlignment="1">
      <alignment horizontal="center" vertical="center"/>
    </xf>
    <xf numFmtId="0" fontId="17" fillId="0" borderId="1" xfId="34" applyFont="1" applyFill="1" applyBorder="1" applyAlignment="1">
      <alignment horizontal="left" vertical="center" wrapText="1"/>
    </xf>
    <xf numFmtId="0" fontId="17" fillId="0" borderId="1" xfId="34" applyFont="1" applyFill="1" applyBorder="1" applyAlignment="1">
      <alignment horizontal="center" vertical="center"/>
    </xf>
    <xf numFmtId="0" fontId="15" fillId="0" borderId="0" xfId="34" applyFont="1" applyAlignment="1">
      <alignment wrapText="1"/>
    </xf>
    <xf numFmtId="0" fontId="16" fillId="0" borderId="0" xfId="34" applyFont="1" applyFill="1" applyAlignment="1">
      <alignment wrapText="1"/>
    </xf>
    <xf numFmtId="0" fontId="15" fillId="0" borderId="1" xfId="34" applyFont="1" applyBorder="1" applyAlignment="1">
      <alignment horizontal="left" vertical="center" wrapText="1"/>
    </xf>
    <xf numFmtId="176" fontId="16" fillId="0" borderId="1" xfId="34" applyNumberFormat="1" applyFont="1" applyFill="1" applyBorder="1" applyAlignment="1">
      <alignment horizontal="center" vertical="center" wrapText="1"/>
    </xf>
    <xf numFmtId="169" fontId="16" fillId="0" borderId="1" xfId="34" applyNumberFormat="1" applyFont="1" applyFill="1" applyBorder="1" applyAlignment="1">
      <alignment horizontal="center" vertical="center" wrapText="1"/>
    </xf>
    <xf numFmtId="0" fontId="16" fillId="0" borderId="1" xfId="34" applyFont="1" applyFill="1" applyBorder="1" applyAlignment="1">
      <alignment horizontal="center" vertical="center" wrapText="1"/>
    </xf>
    <xf numFmtId="1" fontId="15" fillId="0" borderId="1" xfId="34" applyNumberFormat="1" applyFont="1" applyBorder="1" applyAlignment="1">
      <alignment horizontal="center" vertical="center" wrapText="1"/>
    </xf>
    <xf numFmtId="1" fontId="16" fillId="0" borderId="1" xfId="34" applyNumberFormat="1" applyFont="1" applyFill="1" applyBorder="1" applyAlignment="1">
      <alignment horizontal="center" vertical="center" wrapText="1"/>
    </xf>
    <xf numFmtId="169" fontId="16" fillId="0" borderId="1" xfId="35" applyNumberFormat="1" applyFont="1" applyFill="1" applyBorder="1" applyAlignment="1">
      <alignment horizontal="center" vertical="center" wrapText="1"/>
    </xf>
    <xf numFmtId="166" fontId="16" fillId="0" borderId="1" xfId="35" applyNumberFormat="1" applyFont="1" applyFill="1" applyBorder="1" applyAlignment="1">
      <alignment horizontal="center" vertical="center" wrapText="1"/>
    </xf>
    <xf numFmtId="0" fontId="15" fillId="0" borderId="0" xfId="34" applyFont="1"/>
    <xf numFmtId="0" fontId="57" fillId="0" borderId="0" xfId="34" applyFont="1"/>
    <xf numFmtId="0" fontId="58" fillId="0" borderId="0" xfId="34" applyFont="1" applyFill="1"/>
    <xf numFmtId="0" fontId="15" fillId="0" borderId="1" xfId="34" applyFont="1" applyBorder="1"/>
    <xf numFmtId="0" fontId="43" fillId="0" borderId="1" xfId="34" applyFont="1" applyBorder="1"/>
    <xf numFmtId="10" fontId="56" fillId="0" borderId="1" xfId="0" applyNumberFormat="1" applyFont="1" applyBorder="1" applyAlignment="1">
      <alignment horizontal="center" vertical="center"/>
    </xf>
    <xf numFmtId="169" fontId="56" fillId="0" borderId="1" xfId="34" applyNumberFormat="1" applyFont="1" applyFill="1" applyBorder="1" applyAlignment="1">
      <alignment horizontal="center" vertic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Fill="1" applyBorder="1" applyAlignment="1">
      <alignment horizontal="center" vertical="center" wrapText="1"/>
    </xf>
    <xf numFmtId="166" fontId="56" fillId="0" borderId="1" xfId="34" applyNumberFormat="1" applyFont="1" applyFill="1" applyBorder="1" applyAlignment="1">
      <alignment horizontal="center" vertical="center"/>
    </xf>
    <xf numFmtId="0" fontId="56" fillId="0" borderId="1" xfId="34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28" fillId="4" borderId="8" xfId="0" applyFont="1" applyFill="1" applyBorder="1" applyAlignment="1">
      <alignment horizontal="center" vertical="center" wrapText="1"/>
    </xf>
    <xf numFmtId="0" fontId="19" fillId="0" borderId="1" xfId="72" applyFont="1" applyBorder="1" applyAlignment="1">
      <alignment horizontal="center" vertical="center" wrapText="1"/>
    </xf>
    <xf numFmtId="0" fontId="19" fillId="0" borderId="1" xfId="72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52" fillId="0" borderId="1" xfId="12" applyFont="1" applyBorder="1" applyAlignment="1">
      <alignment horizontal="center" vertical="center"/>
    </xf>
    <xf numFmtId="0" fontId="52" fillId="0" borderId="7" xfId="12" applyFont="1" applyBorder="1" applyAlignment="1">
      <alignment horizontal="center" vertical="center"/>
    </xf>
    <xf numFmtId="0" fontId="52" fillId="0" borderId="5" xfId="12" applyFont="1" applyBorder="1" applyAlignment="1">
      <alignment horizontal="center" vertical="center"/>
    </xf>
    <xf numFmtId="3" fontId="24" fillId="0" borderId="1" xfId="2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" xfId="20" applyFont="1" applyBorder="1" applyAlignment="1">
      <alignment horizontal="center" vertical="center" wrapText="1"/>
    </xf>
    <xf numFmtId="4" fontId="24" fillId="0" borderId="1" xfId="20" applyNumberFormat="1" applyFont="1" applyBorder="1" applyAlignment="1">
      <alignment horizontal="center" vertical="center"/>
    </xf>
    <xf numFmtId="4" fontId="24" fillId="0" borderId="1" xfId="2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4" fillId="0" borderId="2" xfId="20" applyNumberFormat="1" applyFont="1" applyBorder="1" applyAlignment="1">
      <alignment horizontal="center" vertical="center"/>
    </xf>
    <xf numFmtId="4" fontId="24" fillId="0" borderId="3" xfId="20" applyNumberFormat="1" applyFont="1" applyBorder="1" applyAlignment="1">
      <alignment horizontal="center" vertical="center"/>
    </xf>
    <xf numFmtId="4" fontId="24" fillId="0" borderId="4" xfId="20" applyNumberFormat="1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 wrapText="1"/>
    </xf>
    <xf numFmtId="0" fontId="15" fillId="0" borderId="0" xfId="20" applyFont="1" applyAlignment="1">
      <alignment horizontal="left" vertical="center"/>
    </xf>
    <xf numFmtId="0" fontId="24" fillId="0" borderId="7" xfId="20" applyFont="1" applyBorder="1" applyAlignment="1">
      <alignment horizontal="center" vertical="center" wrapText="1"/>
    </xf>
    <xf numFmtId="0" fontId="31" fillId="0" borderId="1" xfId="19" applyFont="1" applyBorder="1" applyAlignment="1">
      <alignment horizontal="center" vertical="center" wrapText="1"/>
    </xf>
    <xf numFmtId="49" fontId="24" fillId="0" borderId="1" xfId="19" applyNumberFormat="1" applyFont="1" applyBorder="1" applyAlignment="1">
      <alignment horizontal="center" vertical="center"/>
    </xf>
    <xf numFmtId="49" fontId="31" fillId="0" borderId="1" xfId="19" applyNumberFormat="1" applyFont="1" applyBorder="1" applyAlignment="1">
      <alignment horizontal="center" vertical="center" wrapText="1"/>
    </xf>
    <xf numFmtId="49" fontId="31" fillId="2" borderId="1" xfId="19" applyNumberFormat="1" applyFont="1" applyFill="1" applyBorder="1" applyAlignment="1">
      <alignment horizontal="center" vertical="center" wrapText="1"/>
    </xf>
    <xf numFmtId="0" fontId="31" fillId="0" borderId="1" xfId="19" applyFont="1" applyBorder="1" applyAlignment="1">
      <alignment horizontal="center" vertical="center"/>
    </xf>
    <xf numFmtId="0" fontId="43" fillId="0" borderId="1" xfId="12" applyFont="1" applyBorder="1" applyAlignment="1">
      <alignment horizontal="center" vertical="center" wrapText="1"/>
    </xf>
    <xf numFmtId="0" fontId="19" fillId="0" borderId="1" xfId="12" applyFont="1" applyBorder="1" applyAlignment="1">
      <alignment horizontal="center" vertical="center" wrapText="1"/>
    </xf>
    <xf numFmtId="4" fontId="19" fillId="0" borderId="1" xfId="12" applyNumberFormat="1" applyFont="1" applyBorder="1" applyAlignment="1">
      <alignment horizontal="center" vertical="center" wrapText="1"/>
    </xf>
    <xf numFmtId="0" fontId="31" fillId="0" borderId="2" xfId="19" applyFont="1" applyBorder="1" applyAlignment="1">
      <alignment horizontal="center" vertical="center" wrapText="1"/>
    </xf>
    <xf numFmtId="0" fontId="31" fillId="0" borderId="3" xfId="19" applyFont="1" applyBorder="1" applyAlignment="1">
      <alignment horizontal="center" vertical="center" wrapText="1"/>
    </xf>
    <xf numFmtId="0" fontId="31" fillId="0" borderId="4" xfId="19" applyFont="1" applyBorder="1" applyAlignment="1">
      <alignment horizontal="center" vertical="center" wrapText="1"/>
    </xf>
    <xf numFmtId="0" fontId="19" fillId="2" borderId="1" xfId="12" applyFont="1" applyFill="1" applyBorder="1" applyAlignment="1">
      <alignment horizontal="center" vertical="center" wrapText="1"/>
    </xf>
    <xf numFmtId="49" fontId="19" fillId="0" borderId="1" xfId="12" applyNumberFormat="1" applyFont="1" applyBorder="1" applyAlignment="1">
      <alignment horizontal="center" vertical="center" wrapText="1"/>
    </xf>
    <xf numFmtId="0" fontId="43" fillId="0" borderId="5" xfId="12" applyFont="1" applyBorder="1" applyAlignment="1">
      <alignment horizontal="center" vertical="center" wrapText="1"/>
    </xf>
    <xf numFmtId="0" fontId="43" fillId="0" borderId="7" xfId="12" applyFont="1" applyBorder="1" applyAlignment="1">
      <alignment horizontal="center" vertical="center" wrapText="1"/>
    </xf>
    <xf numFmtId="0" fontId="24" fillId="0" borderId="1" xfId="24" applyFont="1" applyBorder="1" applyAlignment="1">
      <alignment horizontal="center" vertical="center"/>
    </xf>
    <xf numFmtId="0" fontId="31" fillId="0" borderId="1" xfId="12" applyFont="1" applyBorder="1" applyAlignment="1">
      <alignment horizontal="center" vertical="center" wrapText="1"/>
    </xf>
    <xf numFmtId="0" fontId="24" fillId="0" borderId="1" xfId="12" applyFont="1" applyBorder="1" applyAlignment="1">
      <alignment horizontal="center" vertical="center" wrapText="1"/>
    </xf>
    <xf numFmtId="0" fontId="24" fillId="3" borderId="1" xfId="12" applyFont="1" applyFill="1" applyBorder="1" applyAlignment="1">
      <alignment horizontal="center" vertical="center" wrapText="1"/>
    </xf>
    <xf numFmtId="0" fontId="45" fillId="3" borderId="1" xfId="12" applyFont="1" applyFill="1" applyBorder="1" applyAlignment="1">
      <alignment horizontal="center" vertical="center" wrapText="1"/>
    </xf>
    <xf numFmtId="0" fontId="31" fillId="0" borderId="2" xfId="12" applyFont="1" applyBorder="1" applyAlignment="1">
      <alignment horizontal="center" vertical="center" wrapText="1"/>
    </xf>
    <xf numFmtId="0" fontId="31" fillId="0" borderId="3" xfId="12" applyFont="1" applyBorder="1" applyAlignment="1">
      <alignment horizontal="center" vertical="center" wrapText="1"/>
    </xf>
    <xf numFmtId="0" fontId="31" fillId="0" borderId="4" xfId="12" applyFont="1" applyBorder="1" applyAlignment="1">
      <alignment horizontal="center" vertical="center" wrapText="1"/>
    </xf>
    <xf numFmtId="0" fontId="31" fillId="0" borderId="1" xfId="24" applyFont="1" applyBorder="1" applyAlignment="1">
      <alignment horizontal="right" vertical="center" wrapText="1"/>
    </xf>
    <xf numFmtId="0" fontId="31" fillId="0" borderId="1" xfId="24" applyFont="1" applyBorder="1" applyAlignment="1">
      <alignment horizontal="center" vertical="center" wrapText="1"/>
    </xf>
    <xf numFmtId="0" fontId="31" fillId="5" borderId="1" xfId="12" applyFont="1" applyFill="1" applyBorder="1" applyAlignment="1">
      <alignment horizontal="center" vertical="center" wrapText="1"/>
    </xf>
    <xf numFmtId="0" fontId="31" fillId="0" borderId="1" xfId="136" applyFont="1" applyBorder="1" applyAlignment="1">
      <alignment horizontal="center" vertical="center" wrapText="1"/>
    </xf>
    <xf numFmtId="0" fontId="24" fillId="0" borderId="1" xfId="137" applyFont="1" applyBorder="1" applyAlignment="1">
      <alignment horizontal="right" vertical="center" indent="1"/>
    </xf>
    <xf numFmtId="0" fontId="24" fillId="0" borderId="1" xfId="136" applyFont="1" applyBorder="1" applyAlignment="1">
      <alignment horizontal="center" vertical="center" wrapText="1"/>
    </xf>
    <xf numFmtId="0" fontId="19" fillId="0" borderId="1" xfId="136" applyFont="1" applyBorder="1" applyAlignment="1">
      <alignment horizontal="center" vertical="center" wrapText="1"/>
    </xf>
    <xf numFmtId="0" fontId="31" fillId="0" borderId="5" xfId="19" applyFont="1" applyBorder="1" applyAlignment="1">
      <alignment horizontal="center" vertical="center" wrapText="1"/>
    </xf>
    <xf numFmtId="0" fontId="31" fillId="0" borderId="7" xfId="19" applyFont="1" applyBorder="1" applyAlignment="1">
      <alignment horizontal="center" vertical="center" wrapText="1"/>
    </xf>
    <xf numFmtId="49" fontId="17" fillId="0" borderId="5" xfId="19" applyNumberFormat="1" applyFont="1" applyBorder="1" applyAlignment="1">
      <alignment horizontal="center" vertical="center" wrapText="1"/>
    </xf>
    <xf numFmtId="49" fontId="17" fillId="0" borderId="6" xfId="19" applyNumberFormat="1" applyFont="1" applyBorder="1" applyAlignment="1">
      <alignment horizontal="center" vertical="center" wrapText="1"/>
    </xf>
    <xf numFmtId="49" fontId="17" fillId="0" borderId="7" xfId="19" applyNumberFormat="1" applyFont="1" applyBorder="1" applyAlignment="1">
      <alignment horizontal="center" vertical="center" wrapText="1"/>
    </xf>
    <xf numFmtId="0" fontId="17" fillId="3" borderId="5" xfId="19" applyFont="1" applyFill="1" applyBorder="1" applyAlignment="1">
      <alignment horizontal="center" vertical="center" wrapText="1"/>
    </xf>
    <xf numFmtId="0" fontId="17" fillId="3" borderId="6" xfId="19" applyFont="1" applyFill="1" applyBorder="1" applyAlignment="1">
      <alignment horizontal="center" vertical="center" wrapText="1"/>
    </xf>
    <xf numFmtId="0" fontId="17" fillId="3" borderId="7" xfId="19" applyFont="1" applyFill="1" applyBorder="1" applyAlignment="1">
      <alignment horizontal="center" vertical="center" wrapText="1"/>
    </xf>
    <xf numFmtId="0" fontId="31" fillId="0" borderId="5" xfId="12" applyFont="1" applyBorder="1" applyAlignment="1">
      <alignment horizontal="center" vertical="center" wrapText="1"/>
    </xf>
    <xf numFmtId="0" fontId="31" fillId="0" borderId="6" xfId="12" applyFont="1" applyBorder="1" applyAlignment="1">
      <alignment horizontal="center" vertical="center" wrapText="1"/>
    </xf>
    <xf numFmtId="0" fontId="31" fillId="0" borderId="7" xfId="12" applyFont="1" applyBorder="1" applyAlignment="1">
      <alignment horizontal="center" vertical="center" wrapText="1"/>
    </xf>
    <xf numFmtId="0" fontId="17" fillId="0" borderId="5" xfId="12" applyFont="1" applyBorder="1" applyAlignment="1">
      <alignment horizontal="center" vertical="center" wrapText="1"/>
    </xf>
    <xf numFmtId="0" fontId="17" fillId="0" borderId="6" xfId="12" applyFont="1" applyBorder="1" applyAlignment="1">
      <alignment horizontal="center" vertical="center" wrapText="1"/>
    </xf>
    <xf numFmtId="0" fontId="17" fillId="0" borderId="7" xfId="12" applyFont="1" applyBorder="1" applyAlignment="1">
      <alignment horizontal="center" vertical="center" wrapText="1"/>
    </xf>
    <xf numFmtId="49" fontId="17" fillId="0" borderId="5" xfId="12" applyNumberFormat="1" applyFont="1" applyBorder="1" applyAlignment="1">
      <alignment horizontal="center" vertical="center" wrapText="1"/>
    </xf>
    <xf numFmtId="49" fontId="17" fillId="0" borderId="6" xfId="12" applyNumberFormat="1" applyFont="1" applyBorder="1" applyAlignment="1">
      <alignment horizontal="center" vertical="center" wrapText="1"/>
    </xf>
    <xf numFmtId="49" fontId="17" fillId="0" borderId="7" xfId="12" applyNumberFormat="1" applyFont="1" applyBorder="1" applyAlignment="1">
      <alignment horizontal="center" vertical="center" wrapText="1"/>
    </xf>
    <xf numFmtId="0" fontId="17" fillId="0" borderId="5" xfId="19" applyFont="1" applyBorder="1" applyAlignment="1">
      <alignment horizontal="center" vertical="center" wrapText="1"/>
    </xf>
    <xf numFmtId="0" fontId="17" fillId="0" borderId="6" xfId="19" applyFont="1" applyBorder="1" applyAlignment="1">
      <alignment horizontal="center" vertical="center" wrapText="1"/>
    </xf>
    <xf numFmtId="0" fontId="17" fillId="0" borderId="7" xfId="19" applyFont="1" applyBorder="1" applyAlignment="1">
      <alignment horizontal="center" vertical="center" wrapText="1"/>
    </xf>
    <xf numFmtId="0" fontId="38" fillId="0" borderId="1" xfId="12" applyFont="1" applyBorder="1" applyAlignment="1">
      <alignment horizontal="center" vertical="center" wrapText="1"/>
    </xf>
    <xf numFmtId="3" fontId="31" fillId="0" borderId="2" xfId="19" applyNumberFormat="1" applyFont="1" applyBorder="1" applyAlignment="1">
      <alignment horizontal="center" vertical="center" wrapText="1"/>
    </xf>
    <xf numFmtId="3" fontId="31" fillId="0" borderId="3" xfId="19" applyNumberFormat="1" applyFont="1" applyBorder="1" applyAlignment="1">
      <alignment horizontal="center" vertical="center" wrapText="1"/>
    </xf>
    <xf numFmtId="3" fontId="31" fillId="0" borderId="4" xfId="19" applyNumberFormat="1" applyFont="1" applyBorder="1" applyAlignment="1">
      <alignment horizontal="center" vertical="center" wrapText="1"/>
    </xf>
    <xf numFmtId="0" fontId="24" fillId="0" borderId="1" xfId="19" applyFont="1" applyBorder="1" applyAlignment="1">
      <alignment horizontal="center" vertical="center" wrapText="1"/>
    </xf>
    <xf numFmtId="0" fontId="31" fillId="5" borderId="1" xfId="19" applyFont="1" applyFill="1" applyBorder="1" applyAlignment="1">
      <alignment horizontal="center" vertical="center" wrapText="1"/>
    </xf>
    <xf numFmtId="0" fontId="40" fillId="0" borderId="1" xfId="12" applyFont="1" applyBorder="1" applyAlignment="1">
      <alignment horizontal="center" vertical="center" wrapText="1"/>
    </xf>
    <xf numFmtId="0" fontId="39" fillId="3" borderId="1" xfId="19" applyFont="1" applyFill="1" applyBorder="1" applyAlignment="1">
      <alignment horizontal="center" vertical="center" wrapText="1"/>
    </xf>
    <xf numFmtId="0" fontId="17" fillId="0" borderId="1" xfId="19" applyFont="1" applyBorder="1" applyAlignment="1">
      <alignment horizontal="center" vertical="center" wrapText="1"/>
    </xf>
    <xf numFmtId="0" fontId="39" fillId="0" borderId="1" xfId="19" applyFont="1" applyBorder="1" applyAlignment="1">
      <alignment horizontal="center" vertical="center" wrapText="1"/>
    </xf>
    <xf numFmtId="0" fontId="19" fillId="0" borderId="2" xfId="145" applyFont="1" applyFill="1" applyBorder="1" applyAlignment="1">
      <alignment horizontal="center" vertical="center" wrapText="1"/>
    </xf>
    <xf numFmtId="0" fontId="19" fillId="0" borderId="4" xfId="145" applyFont="1" applyFill="1" applyBorder="1" applyAlignment="1">
      <alignment horizontal="center" vertical="center" wrapText="1"/>
    </xf>
    <xf numFmtId="0" fontId="19" fillId="0" borderId="1" xfId="145" applyFont="1" applyFill="1" applyBorder="1" applyAlignment="1">
      <alignment horizontal="center" vertical="center" wrapText="1"/>
    </xf>
  </cellXfs>
  <cellStyles count="146">
    <cellStyle name="Normal 2" xfId="5"/>
    <cellStyle name="Normal 3" xfId="6"/>
    <cellStyle name="Normal 4" xfId="7"/>
    <cellStyle name="Normal 5" xfId="8"/>
    <cellStyle name="Гиперссылка 2" xfId="13"/>
    <cellStyle name="Обычный" xfId="0" builtinId="0"/>
    <cellStyle name="Обычный 10" xfId="25"/>
    <cellStyle name="Обычный 11" xfId="68"/>
    <cellStyle name="Обычный 11 2" xfId="72"/>
    <cellStyle name="Обычный 11 2 2" xfId="121"/>
    <cellStyle name="Обычный 11 3" xfId="118"/>
    <cellStyle name="Обычный 12" xfId="142"/>
    <cellStyle name="Обычный 13" xfId="9"/>
    <cellStyle name="Обычный 15" xfId="74"/>
    <cellStyle name="Обычный 18" xfId="10"/>
    <cellStyle name="Обычный 18 2" xfId="28"/>
    <cellStyle name="Обычный 2" xfId="1"/>
    <cellStyle name="Обычный 2 2" xfId="14"/>
    <cellStyle name="Обычный 2 2 2" xfId="67"/>
    <cellStyle name="Обычный 2 2 3" xfId="20"/>
    <cellStyle name="Обычный 2 2 4" xfId="140"/>
    <cellStyle name="Обычный 2 3" xfId="23"/>
    <cellStyle name="Обычный 2 4" xfId="17"/>
    <cellStyle name="Обычный 2 5" xfId="69"/>
    <cellStyle name="Обычный 25" xfId="143"/>
    <cellStyle name="Обычный 26" xfId="11"/>
    <cellStyle name="Обычный 3" xfId="2"/>
    <cellStyle name="Обычный 3 2" xfId="138"/>
    <cellStyle name="Обычный 4" xfId="4"/>
    <cellStyle name="Обычный 4 2" xfId="27"/>
    <cellStyle name="Обычный 4 2 2" xfId="42"/>
    <cellStyle name="Обычный 4 2 2 2" xfId="95"/>
    <cellStyle name="Обычный 4 2 3" xfId="56"/>
    <cellStyle name="Обычный 4 2 3 2" xfId="109"/>
    <cellStyle name="Обычный 4 2 4" xfId="81"/>
    <cellStyle name="Обычный 4 2 5" xfId="128"/>
    <cellStyle name="Обычный 4 3" xfId="36"/>
    <cellStyle name="Обычный 4 3 2" xfId="89"/>
    <cellStyle name="Обычный 4 4" xfId="50"/>
    <cellStyle name="Обычный 4 4 2" xfId="103"/>
    <cellStyle name="Обычный 4 5" xfId="75"/>
    <cellStyle name="Обычный 4 6" xfId="122"/>
    <cellStyle name="Обычный 5" xfId="12"/>
    <cellStyle name="Обычный 5 10" xfId="136"/>
    <cellStyle name="Обычный 5 2" xfId="22"/>
    <cellStyle name="Обычный 5 2 2" xfId="24"/>
    <cellStyle name="Обычный 5 2 2 2" xfId="33"/>
    <cellStyle name="Обычный 5 2 2 2 2" xfId="47"/>
    <cellStyle name="Обычный 5 2 2 2 2 2" xfId="100"/>
    <cellStyle name="Обычный 5 2 2 2 3" xfId="61"/>
    <cellStyle name="Обычный 5 2 2 2 3 2" xfId="114"/>
    <cellStyle name="Обычный 5 2 2 2 3 2 2" xfId="139"/>
    <cellStyle name="Обычный 5 2 2 2 4" xfId="86"/>
    <cellStyle name="Обычный 5 2 2 2 5" xfId="133"/>
    <cellStyle name="Обычный 5 2 2 3" xfId="41"/>
    <cellStyle name="Обычный 5 2 2 3 2" xfId="94"/>
    <cellStyle name="Обычный 5 2 2 4" xfId="55"/>
    <cellStyle name="Обычный 5 2 2 4 2" xfId="108"/>
    <cellStyle name="Обычный 5 2 2 5" xfId="71"/>
    <cellStyle name="Обычный 5 2 2 5 2" xfId="120"/>
    <cellStyle name="Обычный 5 2 2 6" xfId="80"/>
    <cellStyle name="Обычный 5 2 2 7" xfId="127"/>
    <cellStyle name="Обычный 5 2 2 8" xfId="137"/>
    <cellStyle name="Обычный 5 2 3" xfId="31"/>
    <cellStyle name="Обычный 5 2 3 2" xfId="45"/>
    <cellStyle name="Обычный 5 2 3 2 2" xfId="98"/>
    <cellStyle name="Обычный 5 2 3 3" xfId="59"/>
    <cellStyle name="Обычный 5 2 3 3 2" xfId="112"/>
    <cellStyle name="Обычный 5 2 3 4" xfId="84"/>
    <cellStyle name="Обычный 5 2 3 5" xfId="131"/>
    <cellStyle name="Обычный 5 2 4" xfId="39"/>
    <cellStyle name="Обычный 5 2 4 2" xfId="92"/>
    <cellStyle name="Обычный 5 2 5" xfId="53"/>
    <cellStyle name="Обычный 5 2 5 2" xfId="106"/>
    <cellStyle name="Обычный 5 2 6" xfId="78"/>
    <cellStyle name="Обычный 5 2 7" xfId="125"/>
    <cellStyle name="Обычный 5 3" xfId="21"/>
    <cellStyle name="Обычный 5 3 2" xfId="30"/>
    <cellStyle name="Обычный 5 3 2 2" xfId="44"/>
    <cellStyle name="Обычный 5 3 2 2 2" xfId="97"/>
    <cellStyle name="Обычный 5 3 2 3" xfId="58"/>
    <cellStyle name="Обычный 5 3 2 3 2" xfId="111"/>
    <cellStyle name="Обычный 5 3 2 4" xfId="83"/>
    <cellStyle name="Обычный 5 3 2 5" xfId="130"/>
    <cellStyle name="Обычный 5 3 3" xfId="38"/>
    <cellStyle name="Обычный 5 3 3 2" xfId="91"/>
    <cellStyle name="Обычный 5 3 4" xfId="52"/>
    <cellStyle name="Обычный 5 3 4 2" xfId="105"/>
    <cellStyle name="Обычный 5 3 5" xfId="77"/>
    <cellStyle name="Обычный 5 3 6" xfId="124"/>
    <cellStyle name="Обычный 5 4" xfId="29"/>
    <cellStyle name="Обычный 5 4 2" xfId="43"/>
    <cellStyle name="Обычный 5 4 2 2" xfId="96"/>
    <cellStyle name="Обычный 5 4 3" xfId="57"/>
    <cellStyle name="Обычный 5 4 3 2" xfId="110"/>
    <cellStyle name="Обычный 5 4 4" xfId="82"/>
    <cellStyle name="Обычный 5 4 5" xfId="129"/>
    <cellStyle name="Обычный 5 5" xfId="37"/>
    <cellStyle name="Обычный 5 5 2" xfId="90"/>
    <cellStyle name="Обычный 5 6" xfId="51"/>
    <cellStyle name="Обычный 5 6 2" xfId="104"/>
    <cellStyle name="Обычный 5 7" xfId="70"/>
    <cellStyle name="Обычный 5 7 2" xfId="119"/>
    <cellStyle name="Обычный 5 8" xfId="76"/>
    <cellStyle name="Обычный 5 9" xfId="123"/>
    <cellStyle name="Обычный 6" xfId="15"/>
    <cellStyle name="Обычный 6 2" xfId="19"/>
    <cellStyle name="Обычный 7" xfId="16"/>
    <cellStyle name="Обычный 7 3 9" xfId="64"/>
    <cellStyle name="Обычный 7 4 2" xfId="141"/>
    <cellStyle name="Обычный 7 6" xfId="26"/>
    <cellStyle name="Обычный 7 9" xfId="66"/>
    <cellStyle name="Обычный 7 9 2" xfId="117"/>
    <cellStyle name="Обычный 8" xfId="18"/>
    <cellStyle name="Обычный 9" xfId="34"/>
    <cellStyle name="Обычный 9 2" xfId="48"/>
    <cellStyle name="Обычный 9 2 2" xfId="101"/>
    <cellStyle name="Обычный 9 3" xfId="62"/>
    <cellStyle name="Обычный 9 3 2" xfId="115"/>
    <cellStyle name="Обычный 9 4" xfId="87"/>
    <cellStyle name="Обычный 9 5" xfId="134"/>
    <cellStyle name="Обычный_Сб-macro 2020" xfId="145"/>
    <cellStyle name="Процентный" xfId="3" builtinId="5"/>
    <cellStyle name="Процентный 2" xfId="35"/>
    <cellStyle name="Процентный 2 2" xfId="49"/>
    <cellStyle name="Процентный 2 2 2" xfId="102"/>
    <cellStyle name="Процентный 2 3" xfId="63"/>
    <cellStyle name="Процентный 2 3 2" xfId="116"/>
    <cellStyle name="Процентный 2 4" xfId="88"/>
    <cellStyle name="Процентный 2 5" xfId="135"/>
    <cellStyle name="Стиль 1 2" xfId="73"/>
    <cellStyle name="Финансовый" xfId="144" builtinId="3"/>
    <cellStyle name="Финансовый 2" xfId="32"/>
    <cellStyle name="Финансовый 2 2" xfId="46"/>
    <cellStyle name="Финансовый 2 2 2" xfId="99"/>
    <cellStyle name="Финансовый 2 3" xfId="60"/>
    <cellStyle name="Финансовый 2 3 2" xfId="113"/>
    <cellStyle name="Финансовый 2 4" xfId="85"/>
    <cellStyle name="Финансовый 2 5" xfId="132"/>
    <cellStyle name="Финансовый 3" xfId="40"/>
    <cellStyle name="Финансовый 3 2" xfId="93"/>
    <cellStyle name="Финансовый 4" xfId="65"/>
    <cellStyle name="Финансовый 5" xfId="54"/>
    <cellStyle name="Финансовый 5 2" xfId="107"/>
    <cellStyle name="Финансовый 6" xfId="79"/>
    <cellStyle name="Финансовый 7" xfId="126"/>
  </cellStyles>
  <dxfs count="9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67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22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"/>
          <c:y val="6.3892394364343713E-2"/>
          <c:w val="1"/>
          <c:h val="0.86172000805834681"/>
        </c:manualLayout>
      </c:layout>
      <c:pie3DChart>
        <c:varyColors val="1"/>
        <c:ser>
          <c:idx val="0"/>
          <c:order val="0"/>
          <c:tx>
            <c:strRef>
              <c:f>Фин.потребности!$D$70</c:f>
              <c:strCache>
                <c:ptCount val="1"/>
                <c:pt idx="0">
                  <c:v>Потребность в капитальных вложениях, в т.ч.: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4392-478D-869B-DCC2988845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4392-478D-869B-DCC2988845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4392-478D-869B-DCC2988845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36F2-4069-AC55-412C2A41152B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4392-478D-869B-DCC29888458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4392-478D-869B-DCC29888458D}"/>
              </c:ext>
            </c:extLst>
          </c:dPt>
          <c:dLbls>
            <c:dLbl>
              <c:idx val="0"/>
              <c:layout>
                <c:manualLayout>
                  <c:x val="0.21790206731475031"/>
                  <c:y val="7.256027502058255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392-478D-869B-DCC29888458D}"/>
                </c:ext>
              </c:extLst>
            </c:dLbl>
            <c:dLbl>
              <c:idx val="1"/>
              <c:layout>
                <c:manualLayout>
                  <c:x val="-9.9743904052526547E-2"/>
                  <c:y val="0.145120550041165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392-478D-869B-DCC29888458D}"/>
                </c:ext>
              </c:extLst>
            </c:dLbl>
            <c:dLbl>
              <c:idx val="2"/>
              <c:layout>
                <c:manualLayout>
                  <c:x val="-0.16572833288727501"/>
                  <c:y val="-0.195912742555572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392-478D-869B-DCC29888458D}"/>
                </c:ext>
              </c:extLst>
            </c:dLbl>
            <c:dLbl>
              <c:idx val="3"/>
              <c:layout>
                <c:manualLayout>
                  <c:x val="2.6086927627973967E-2"/>
                  <c:y val="-0.2926598711398077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Times New Roman" panose="02020603050405020304" pitchFamily="18" charset="0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973694184180259"/>
                      <c:h val="0.1456878872470416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36F2-4069-AC55-412C2A41152B}"/>
                </c:ext>
              </c:extLst>
            </c:dLbl>
            <c:dLbl>
              <c:idx val="4"/>
              <c:layout>
                <c:manualLayout>
                  <c:x val="1.687973760888908E-2"/>
                  <c:y val="-2.6605434174213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392-478D-869B-DCC29888458D}"/>
                </c:ext>
              </c:extLst>
            </c:dLbl>
            <c:dLbl>
              <c:idx val="5"/>
              <c:layout>
                <c:manualLayout>
                  <c:x val="1.3810694407272908E-2"/>
                  <c:y val="-9.91657091947962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392-478D-869B-DCC2988845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+mn-cs"/>
                  </a:defRPr>
                </a:pPr>
                <a:endParaRPr lang="ru-RU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(Фин.потребности!$C$70,Фин.потребности!$C$75,Фин.потребности!$C$80,Фин.потребности!$C$85,Фин.потребности!$C$90,Фин.потребности!$C$95)</c:f>
              <c:strCache>
                <c:ptCount val="6"/>
                <c:pt idx="0">
                  <c:v>Система теплоснабжения</c:v>
                </c:pt>
                <c:pt idx="1">
                  <c:v>Система водоснабжения</c:v>
                </c:pt>
                <c:pt idx="2">
                  <c:v>Система водоотведения</c:v>
                </c:pt>
                <c:pt idx="3">
                  <c:v>Система электроснабжения</c:v>
                </c:pt>
                <c:pt idx="4">
                  <c:v>Система газоснабжения</c:v>
                </c:pt>
                <c:pt idx="5">
                  <c:v>Система сбора и утилизации ТКО</c:v>
                </c:pt>
              </c:strCache>
            </c:strRef>
          </c:cat>
          <c:val>
            <c:numRef>
              <c:f>(Фин.потребности!$S$70,Фин.потребности!$S$75,Фин.потребности!$S$80,Фин.потребности!$S$85,Фин.потребности!$S$90,Фин.потребности!$S$95)</c:f>
              <c:numCache>
                <c:formatCode>#,##0</c:formatCode>
                <c:ptCount val="6"/>
                <c:pt idx="0">
                  <c:v>4081834</c:v>
                </c:pt>
                <c:pt idx="1">
                  <c:v>1782385.4589492748</c:v>
                </c:pt>
                <c:pt idx="2">
                  <c:v>3272778.9809870441</c:v>
                </c:pt>
                <c:pt idx="3">
                  <c:v>379422.30210000003</c:v>
                </c:pt>
                <c:pt idx="4">
                  <c:v>0</c:v>
                </c:pt>
                <c:pt idx="5">
                  <c:v>72200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8-4DE6-9B9D-C7418F451A2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1854410091421618E-2"/>
          <c:y val="7.5768716252134646E-2"/>
          <c:w val="0.9768948876421808"/>
          <c:h val="0.83771824689586261"/>
        </c:manualLayout>
      </c:layout>
      <c:pie3DChart>
        <c:varyColors val="1"/>
        <c:ser>
          <c:idx val="0"/>
          <c:order val="0"/>
          <c:tx>
            <c:strRef>
              <c:f>Фин.потребности!$D$70</c:f>
              <c:strCache>
                <c:ptCount val="1"/>
                <c:pt idx="0">
                  <c:v>Потребность в капитальных вложениях, в т.ч.: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177-4787-839F-870D1FA4B37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177-4787-839F-870D1FA4B37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177-4787-839F-870D1FA4B37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177-4787-839F-870D1FA4B373}"/>
              </c:ext>
            </c:extLst>
          </c:dPt>
          <c:dLbls>
            <c:dLbl>
              <c:idx val="0"/>
              <c:layout>
                <c:manualLayout>
                  <c:x val="0.15020080532384378"/>
                  <c:y val="-0.307043813135793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85319361580274"/>
                      <c:h val="0.2454613195976753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177-4787-839F-870D1FA4B3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Фин.потребности!$D$101:$D$104</c:f>
              <c:strCache>
                <c:ptCount val="4"/>
                <c:pt idx="0">
                  <c:v>бюджеты различных уровней</c:v>
                </c:pt>
                <c:pt idx="1">
                  <c:v>собственные/кредитные средства</c:v>
                </c:pt>
                <c:pt idx="2">
                  <c:v>плата за подключение</c:v>
                </c:pt>
                <c:pt idx="3">
                  <c:v>иные средства</c:v>
                </c:pt>
              </c:strCache>
            </c:strRef>
          </c:cat>
          <c:val>
            <c:numRef>
              <c:f>Фин.потребности!$S$101:$S$104</c:f>
              <c:numCache>
                <c:formatCode>#,##0</c:formatCode>
                <c:ptCount val="4"/>
                <c:pt idx="0">
                  <c:v>6914099.2619883986</c:v>
                </c:pt>
                <c:pt idx="1">
                  <c:v>46393.698799999998</c:v>
                </c:pt>
                <c:pt idx="2">
                  <c:v>333028.60330000002</c:v>
                </c:pt>
                <c:pt idx="3">
                  <c:v>2295099.1779479203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E27-4E34-B48B-261E6A6EA58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9883415735823676E-3"/>
          <c:w val="0.50959767313332405"/>
          <c:h val="0.9909917174932739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793-4B32-9A78-BC0D7179825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793-4B32-9A78-BC0D7179825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793-4B32-9A78-BC0D7179825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793-4B32-9A78-BC0D71798253}"/>
              </c:ext>
            </c:extLst>
          </c:dPt>
          <c:dLbls>
            <c:dLbl>
              <c:idx val="0"/>
              <c:layout>
                <c:manualLayout>
                  <c:x val="-3.9285696983203479E-2"/>
                  <c:y val="0.1110467664183309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793-4B32-9A78-BC0D71798253}"/>
                </c:ext>
              </c:extLst>
            </c:dLbl>
            <c:dLbl>
              <c:idx val="1"/>
              <c:layout>
                <c:manualLayout>
                  <c:x val="-4.7312919528107587E-2"/>
                  <c:y val="-0.1966314785362698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793-4B32-9A78-BC0D71798253}"/>
                </c:ext>
              </c:extLst>
            </c:dLbl>
            <c:dLbl>
              <c:idx val="2"/>
              <c:layout>
                <c:manualLayout>
                  <c:x val="2.0621876205978551E-2"/>
                  <c:y val="3.75754277651228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793-4B32-9A78-BC0D71798253}"/>
                </c:ext>
              </c:extLst>
            </c:dLbl>
            <c:dLbl>
              <c:idx val="3"/>
              <c:layout>
                <c:manualLayout>
                  <c:x val="1.7731323904769915E-2"/>
                  <c:y val="0.1354629687597821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36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ru-RU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793-4B32-9A78-BC0D71798253}"/>
                </c:ext>
              </c:extLst>
            </c:dLbl>
            <c:spPr>
              <a:noFill/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36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'Программа инв. проектов'!$B$205:$B$208</c:f>
              <c:strCache>
                <c:ptCount val="4"/>
                <c:pt idx="0">
                  <c:v>Присоединение новых потребителей</c:v>
                </c:pt>
                <c:pt idx="1">
                  <c:v>Повышение надежности</c:v>
                </c:pt>
                <c:pt idx="2">
                  <c:v>Улучшение экологической ситуации</c:v>
                </c:pt>
                <c:pt idx="3">
                  <c:v>Прочие</c:v>
                </c:pt>
              </c:strCache>
            </c:strRef>
          </c:cat>
          <c:val>
            <c:numRef>
              <c:f>'Программа инв. проектов'!$C$205:$C$208</c:f>
              <c:numCache>
                <c:formatCode>#,##0</c:formatCode>
                <c:ptCount val="4"/>
                <c:pt idx="0">
                  <c:v>1917.3342517131268</c:v>
                </c:pt>
                <c:pt idx="1">
                  <c:v>6390.9487924765281</c:v>
                </c:pt>
                <c:pt idx="2">
                  <c:v>1164.6528894988078</c:v>
                </c:pt>
                <c:pt idx="3">
                  <c:v>115.68480834785554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793-4B32-9A78-BC0D71798253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764121653221717"/>
          <c:y val="0.11873039743051048"/>
          <c:w val="0.47050280234695502"/>
          <c:h val="0.7899966253200959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0"/>
        <a:lstStyle/>
        <a:p>
          <a:pPr>
            <a:defRPr sz="2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576452</xdr:colOff>
      <xdr:row>74</xdr:row>
      <xdr:rowOff>270299</xdr:rowOff>
    </xdr:from>
    <xdr:to>
      <xdr:col>36</xdr:col>
      <xdr:colOff>313765</xdr:colOff>
      <xdr:row>98</xdr:row>
      <xdr:rowOff>75047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5F4591C3-F004-4BE5-A0FC-52C77FA60D1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549088</xdr:colOff>
      <xdr:row>99</xdr:row>
      <xdr:rowOff>5907</xdr:rowOff>
    </xdr:from>
    <xdr:to>
      <xdr:col>36</xdr:col>
      <xdr:colOff>381000</xdr:colOff>
      <xdr:row>126</xdr:row>
      <xdr:rowOff>7843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39F61883-39D8-4B28-87BD-45997D661A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19610</xdr:colOff>
      <xdr:row>215</xdr:row>
      <xdr:rowOff>43772</xdr:rowOff>
    </xdr:from>
    <xdr:to>
      <xdr:col>7</xdr:col>
      <xdr:colOff>780436</xdr:colOff>
      <xdr:row>252</xdr:row>
      <xdr:rowOff>51392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99AD44A7-EBF1-4FA0-BCF2-6FDE715C9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6.0.10\docs\Users\&#1063;&#1080;&#1095;&#1082;&#1086;\Downloads\&#1054;&#1073;&#1098;&#1077;&#1082;&#1090;&#1099;\PASSPORT.VOTV(v1.2)_2018_Perm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6.0.10\docs\DOCUME~1\9335~1\LOCALS~1\Temp\Rar$DI00.140\&#1046;&#1050;&#1059;_&#1087;&#1088;&#1086;&#1077;&#1082;&#1090;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80;&#1079;&#1074;&#1086;&#1076;&#1089;&#1090;&#1074;&#1077;&#1085;&#1085;&#1099;&#1081;%20&#1086;&#1090;&#1076;&#1077;&#1083;/&#1055;&#1086;&#1087;&#1086;&#1074;/&#1050;&#1072;&#1083;&#1091;&#1075;&#1072;/&#1054;&#1090;&#1095;&#1077;&#1090;%20&#1050;&#1054;%2017-0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omanceva.a\Downloads\&#1056;&#1072;&#1089;&#1095;&#1077;&#1090;&#1085;&#1072;&#1103;%20&#1052;&#1086;&#1076;&#1077;&#1083;&#1100;%20&#1061;&#1072;&#1073;&#1072;&#1088;&#1086;&#1074;&#1089;&#1082;-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&#1058;&#1077;&#1082;&#1091;&#1097;&#1080;&#1077;%20&#1087;&#1088;&#1086;&#1077;&#1082;&#1090;&#1099;\&#1061;&#1072;&#1073;&#1072;&#1088;&#1086;&#1074;&#1089;&#1082;%20&#1055;&#1050;&#1056;\&#1055;&#1077;&#1088;&#1089;&#1087;&#1077;&#1082;&#1090;&#1080;&#1074;&#1072;\&#1058;&#1072;&#1073;&#1083;&#1080;&#1094;&#1072;%20&#1076;&#1083;&#1103;%20&#1079;&#1072;&#1087;&#1086;&#1083;&#1085;&#1077;&#1085;&#1080;&#1103;%20&#1085;&#1072;&#1075;&#1088;&#1091;&#1079;&#1086;&#1082;%20&#1087;&#1086;%20&#1087;&#1077;&#1088;&#1089;&#1087;&#1077;&#1082;&#1090;&#1080;&#1074;&#1077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80;&#1079;&#1074;&#1086;&#1076;&#1089;&#1090;&#1074;&#1077;&#1085;&#1085;&#1099;&#1081;%20&#1086;&#1090;&#1076;&#1077;&#1083;/&#1055;&#1086;&#1087;&#1086;&#1074;/&#1050;&#1072;&#1083;&#1091;&#1075;&#1072;/&#1054;&#1090;&#1095;&#1077;&#1090;%20&#1050;&#1054;%2020-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&#1048;&#1085;&#1078;&#1077;&#1085;&#1077;&#1088;%20&#1088;&#1072;&#1089;&#1095;&#1077;&#1090;&#1095;&#1080;&#1082;/Share_NE/&#1054;&#1073;&#1084;&#1077;&#1085;%20&#1092;&#1072;&#1081;&#1083;&#1072;&#1084;&#1080;/&#1050;&#1091;&#1083;&#1100;&#1076;&#1078;&#1080;&#1084;&#1073;&#1072;&#1077;&#1074;/2023/&#1070;&#1075;&#1086;&#1088;&#1089;&#1082;/&#1056;&#1072;&#1073;&#1086;&#1090;&#1072;%20-%20&#1056;&#1072;&#1089;&#1095;&#1077;&#1090;&#1085;&#1072;&#1103;%20&#1052;&#1086;&#1076;&#1077;&#1083;&#1100;%20&#1055;&#1050;&#1056;%20&#1070;&#1075;&#1086;&#1088;&#1089;&#1082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3.%20&#1048;&#1085;&#1078;&#1077;&#1085;&#1077;&#1088;%20&#1088;&#1072;&#1089;&#1095;&#1077;&#1090;&#1095;&#1080;&#1082;/shara/&#1054;&#1073;&#1098;&#1077;&#1082;&#1090;&#1099;/&#1070;&#1075;&#1086;&#1088;&#1089;&#1082;%20&#1055;&#1050;&#1056;/&#1056;&#1072;&#1089;&#1095;&#1077;&#1090;&#1085;&#1072;&#1103;%20&#1052;&#1086;&#1076;&#1077;&#1083;&#1100;%20&#1055;&#1050;&#1056;%20&#1070;&#1075;&#1086;&#1088;&#1089;&#1082;_&#1076;&#1086;&#1089;&#1090;&#1091;&#1087;&#1085;&#1086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Prov"/>
      <sheetName val="modFill"/>
      <sheetName val="modList18"/>
      <sheetName val="Настройки"/>
      <sheetName val="Лог обновления"/>
      <sheetName val="Титульный"/>
      <sheetName val="КНС"/>
      <sheetName val="Насосы КНС"/>
      <sheetName val="Оборудование КНС"/>
      <sheetName val="КОС"/>
      <sheetName val="Характеристики сточных вод"/>
      <sheetName val="Оборудование КОС"/>
      <sheetName val="Сети водоотведения"/>
      <sheetName val="Участки"/>
      <sheetName val="Оборудование сетей"/>
      <sheetName val="Системы водоотведения"/>
      <sheetName val="Удаленные объекты"/>
      <sheetName val="Комментарии"/>
      <sheetName val="Проверка"/>
      <sheetName val="et_union"/>
      <sheetName val="TEHSHEET"/>
      <sheetName val="modCheckCyan"/>
      <sheetName val="modProvGeneralProc"/>
      <sheetName val="modReestr"/>
      <sheetName val="AllSheetsInThisWorkbook"/>
      <sheetName val="modHTTP"/>
      <sheetName val="modIHLCommandBar"/>
      <sheetName val="modInstruction"/>
      <sheetName val="modfrmURL"/>
      <sheetName val="modfrmSecretCode"/>
      <sheetName val="modfrmCheckUpdates"/>
      <sheetName val="modClassifierValidate"/>
      <sheetName val="REESTR_MO"/>
      <sheetName val="REESTR_ORG"/>
      <sheetName val="REESTR_BRIF"/>
      <sheetName val="modfrmReestr"/>
      <sheetName val="modfrmReestrKT"/>
      <sheetName val="modHyp"/>
      <sheetName val="modUpdTemplMain"/>
      <sheetName val="modfrmListObject"/>
      <sheetName val="modThisWorkbook"/>
      <sheetName val="modList00"/>
      <sheetName val="modList02"/>
      <sheetName val="modList02_1"/>
      <sheetName val="modList02_2"/>
      <sheetName val="modList03"/>
      <sheetName val="modList03_2"/>
      <sheetName val="modList03_3"/>
      <sheetName val="modList05"/>
      <sheetName val="modList05_1"/>
      <sheetName val="modList05_2"/>
      <sheetName val="modList06"/>
      <sheetName val="modList12"/>
      <sheetName val="modCommonProc"/>
      <sheetName val="Лист1"/>
      <sheetName val="Лист2"/>
      <sheetName val="Лист3"/>
      <sheetName val="PASSPORT.VOTV(v1.2)_2018_Perm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H11">
            <v>2018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51">
          <cell r="F51" t="str">
            <v>передача сточных вод</v>
          </cell>
          <cell r="M51" t="str">
            <v>напорный</v>
          </cell>
          <cell r="N51" t="str">
            <v>Выбрать несколько</v>
          </cell>
          <cell r="R51">
            <v>1</v>
          </cell>
          <cell r="T51" t="str">
            <v>наружная прокладка</v>
          </cell>
          <cell r="U51">
            <v>25</v>
          </cell>
        </row>
        <row r="52">
          <cell r="F52" t="str">
            <v>передача промышленных стоков</v>
          </cell>
          <cell r="M52" t="str">
            <v>самотечный</v>
          </cell>
          <cell r="N52" t="str">
            <v>сталь</v>
          </cell>
          <cell r="R52">
            <v>2</v>
          </cell>
          <cell r="T52" t="str">
            <v>в грунте</v>
          </cell>
          <cell r="U52">
            <v>32</v>
          </cell>
        </row>
        <row r="53">
          <cell r="F53" t="str">
            <v>передача сточных вод и промышленных стоков</v>
          </cell>
          <cell r="N53" t="str">
            <v>чугун</v>
          </cell>
          <cell r="R53">
            <v>3</v>
          </cell>
          <cell r="T53" t="str">
            <v>в коллекторе и других инженерных сооружениях</v>
          </cell>
          <cell r="U53">
            <v>40</v>
          </cell>
        </row>
        <row r="54">
          <cell r="N54" t="str">
            <v>железобетон</v>
          </cell>
          <cell r="R54">
            <v>4</v>
          </cell>
          <cell r="U54">
            <v>50</v>
          </cell>
        </row>
        <row r="55">
          <cell r="N55" t="str">
            <v>композитные материалы</v>
          </cell>
          <cell r="R55">
            <v>5</v>
          </cell>
          <cell r="U55">
            <v>65</v>
          </cell>
        </row>
        <row r="56">
          <cell r="N56" t="str">
            <v>полимер</v>
          </cell>
          <cell r="U56">
            <v>70</v>
          </cell>
        </row>
        <row r="57">
          <cell r="U57">
            <v>80</v>
          </cell>
        </row>
        <row r="58">
          <cell r="U58">
            <v>100</v>
          </cell>
        </row>
        <row r="59">
          <cell r="U59">
            <v>125</v>
          </cell>
        </row>
        <row r="60">
          <cell r="U60">
            <v>150</v>
          </cell>
        </row>
        <row r="61">
          <cell r="U61">
            <v>200</v>
          </cell>
        </row>
        <row r="62">
          <cell r="U62">
            <v>250</v>
          </cell>
        </row>
        <row r="63">
          <cell r="U63">
            <v>300</v>
          </cell>
        </row>
        <row r="64">
          <cell r="U64">
            <v>400</v>
          </cell>
        </row>
        <row r="65">
          <cell r="U65">
            <v>450</v>
          </cell>
        </row>
        <row r="66">
          <cell r="U66">
            <v>500</v>
          </cell>
        </row>
        <row r="67">
          <cell r="U67">
            <v>600</v>
          </cell>
        </row>
        <row r="68">
          <cell r="U68">
            <v>700</v>
          </cell>
        </row>
        <row r="69">
          <cell r="U69">
            <v>800</v>
          </cell>
        </row>
        <row r="70">
          <cell r="U70">
            <v>900</v>
          </cell>
        </row>
        <row r="71">
          <cell r="U71">
            <v>1000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  <sheetName val="Диапазоны"/>
      <sheetName val="matrix"/>
    </sheetNames>
    <sheetDataSet>
      <sheetData sheetId="0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Стоимость"/>
      <sheetName val="МероприятияВС"/>
      <sheetName val="Баланс ВС"/>
      <sheetName val="МероприятияВО"/>
      <sheetName val="Баланс ВО"/>
      <sheetName val="Баланс (факт)"/>
      <sheetName val="ВЗУ"/>
      <sheetName val="Служебная"/>
      <sheetName val="ЭЭ"/>
      <sheetName val="Аварийность"/>
      <sheetName val="ВНБ"/>
      <sheetName val="Сети ВС"/>
      <sheetName val="Сети ВО"/>
      <sheetName val="ВОС"/>
      <sheetName val="ПНС"/>
      <sheetName val="КНС"/>
      <sheetName val="ОСК Боровский филиал"/>
      <sheetName val="ОСК Центральный филиал"/>
      <sheetName val="ОСК Людиновский филиал"/>
      <sheetName val="ОСК Дзержинский филиал"/>
      <sheetName val="ОСК Сухинический филиал"/>
      <sheetName val="ОСК Юхновский филиал"/>
      <sheetName val="СП"/>
      <sheetName val="НП"/>
      <sheetName val="Численность"/>
      <sheetName val="EXCEL2.RU (2)"/>
    </sheetNames>
    <sheetDataSet>
      <sheetData sheetId="0"/>
      <sheetData sheetId="1"/>
      <sheetData sheetId="2"/>
      <sheetData sheetId="3"/>
      <sheetData sheetId="4">
        <row r="3">
          <cell r="B3" t="str">
            <v>Боровский филиал</v>
          </cell>
          <cell r="I3">
            <v>0</v>
          </cell>
          <cell r="J3">
            <v>0</v>
          </cell>
          <cell r="L3">
            <v>0</v>
          </cell>
          <cell r="Q3">
            <v>0</v>
          </cell>
        </row>
        <row r="4">
          <cell r="B4">
            <v>0</v>
          </cell>
          <cell r="I4">
            <v>0</v>
          </cell>
          <cell r="J4" t="str">
            <v>сооружения канализации</v>
          </cell>
          <cell r="L4">
            <v>3</v>
          </cell>
          <cell r="Q4" t="str">
            <v/>
          </cell>
        </row>
        <row r="5">
          <cell r="B5" t="str">
            <v>Муниципальный район "Боровский район"</v>
          </cell>
          <cell r="I5" t="str">
            <v>Реконструкция</v>
          </cell>
          <cell r="J5" t="str">
            <v>ОСК</v>
          </cell>
          <cell r="L5">
            <v>1</v>
          </cell>
          <cell r="Q5" t="str">
            <v>2020-2025</v>
          </cell>
        </row>
        <row r="6">
          <cell r="B6" t="str">
            <v>Муниципальный район "Боровский район"</v>
          </cell>
          <cell r="I6" t="str">
            <v>Ликвидация</v>
          </cell>
          <cell r="J6" t="str">
            <v>ОСК</v>
          </cell>
          <cell r="L6">
            <v>1</v>
          </cell>
          <cell r="Q6" t="str">
            <v>2020-2025</v>
          </cell>
        </row>
        <row r="7">
          <cell r="B7" t="str">
            <v>Муниципальный район "Боровский район"</v>
          </cell>
          <cell r="I7" t="str">
            <v>Реконструкция</v>
          </cell>
          <cell r="J7" t="str">
            <v>ОСК</v>
          </cell>
          <cell r="L7">
            <v>1</v>
          </cell>
          <cell r="Q7" t="str">
            <v>2026-2030</v>
          </cell>
        </row>
        <row r="8">
          <cell r="B8">
            <v>0</v>
          </cell>
          <cell r="I8">
            <v>0</v>
          </cell>
          <cell r="J8" t="str">
            <v>сооружения канализации</v>
          </cell>
          <cell r="L8">
            <v>24</v>
          </cell>
          <cell r="Q8" t="str">
            <v/>
          </cell>
        </row>
        <row r="9">
          <cell r="B9" t="str">
            <v>Муниципальный район "Боровский район"</v>
          </cell>
          <cell r="I9" t="str">
            <v>Капитальный ремонт</v>
          </cell>
          <cell r="J9" t="str">
            <v>КНС</v>
          </cell>
          <cell r="L9">
            <v>1</v>
          </cell>
          <cell r="Q9" t="str">
            <v>2020-2025</v>
          </cell>
        </row>
        <row r="10">
          <cell r="B10" t="str">
            <v>Муниципальный район "Боровский район"</v>
          </cell>
          <cell r="I10" t="str">
            <v>Капитальный ремонт</v>
          </cell>
          <cell r="J10" t="str">
            <v>КНС</v>
          </cell>
          <cell r="L10">
            <v>1</v>
          </cell>
          <cell r="Q10" t="str">
            <v>2020-2025</v>
          </cell>
        </row>
        <row r="11">
          <cell r="B11" t="str">
            <v>Муниципальный район "Боровский район"</v>
          </cell>
          <cell r="I11" t="str">
            <v>Капитальный ремонт</v>
          </cell>
          <cell r="J11" t="str">
            <v>КНС</v>
          </cell>
          <cell r="L11">
            <v>1</v>
          </cell>
          <cell r="Q11" t="str">
            <v>2026-2030</v>
          </cell>
        </row>
        <row r="12">
          <cell r="B12" t="str">
            <v>Муниципальный район "Боровский район"</v>
          </cell>
          <cell r="I12" t="str">
            <v>Капитальный ремонт</v>
          </cell>
          <cell r="J12" t="str">
            <v>КНС</v>
          </cell>
          <cell r="L12">
            <v>1</v>
          </cell>
          <cell r="Q12" t="str">
            <v>2036-2040</v>
          </cell>
        </row>
        <row r="13">
          <cell r="B13" t="str">
            <v>Муниципальный район "Боровский район"</v>
          </cell>
          <cell r="I13" t="str">
            <v>Капитальный ремонт</v>
          </cell>
          <cell r="J13" t="str">
            <v>КНС</v>
          </cell>
          <cell r="L13">
            <v>1</v>
          </cell>
          <cell r="Q13" t="str">
            <v>2036-2040</v>
          </cell>
        </row>
        <row r="14">
          <cell r="B14" t="str">
            <v>Муниципальный район "Боровский район"</v>
          </cell>
          <cell r="I14" t="str">
            <v>Капитальный ремонт</v>
          </cell>
          <cell r="J14" t="str">
            <v>КНС</v>
          </cell>
          <cell r="L14">
            <v>1</v>
          </cell>
          <cell r="Q14" t="str">
            <v>2020-2025</v>
          </cell>
        </row>
        <row r="15">
          <cell r="B15" t="str">
            <v>Муниципальный район "Боровский район"</v>
          </cell>
          <cell r="I15" t="str">
            <v>Капитальный ремонт</v>
          </cell>
          <cell r="J15" t="str">
            <v>КНС</v>
          </cell>
          <cell r="L15">
            <v>1</v>
          </cell>
          <cell r="Q15" t="str">
            <v>2026-2030</v>
          </cell>
        </row>
        <row r="16">
          <cell r="B16" t="str">
            <v>Муниципальный район "Боровский район"</v>
          </cell>
          <cell r="I16" t="str">
            <v>Капитальный ремонт</v>
          </cell>
          <cell r="J16" t="str">
            <v>КНС</v>
          </cell>
          <cell r="L16">
            <v>1</v>
          </cell>
          <cell r="Q16" t="str">
            <v>2020-2025</v>
          </cell>
        </row>
        <row r="17">
          <cell r="B17" t="str">
            <v>Муниципальный район "Боровский район"</v>
          </cell>
          <cell r="I17" t="str">
            <v>Капитальный ремонт</v>
          </cell>
          <cell r="J17" t="str">
            <v>КНС</v>
          </cell>
          <cell r="L17">
            <v>1</v>
          </cell>
          <cell r="Q17" t="str">
            <v>2019-2024</v>
          </cell>
        </row>
        <row r="18">
          <cell r="B18" t="str">
            <v>Муниципальный район "Боровский район"</v>
          </cell>
          <cell r="I18" t="str">
            <v>Капитальный ремонт</v>
          </cell>
          <cell r="J18" t="str">
            <v>КНС</v>
          </cell>
          <cell r="L18">
            <v>1</v>
          </cell>
          <cell r="Q18" t="str">
            <v>2020-2025</v>
          </cell>
        </row>
        <row r="19">
          <cell r="B19" t="str">
            <v>Муниципальный район "Боровский район"</v>
          </cell>
          <cell r="I19" t="str">
            <v>Капитальный ремонт</v>
          </cell>
          <cell r="J19" t="str">
            <v>КНС</v>
          </cell>
          <cell r="L19">
            <v>1</v>
          </cell>
          <cell r="Q19" t="str">
            <v>2020-2025</v>
          </cell>
        </row>
        <row r="20">
          <cell r="B20" t="str">
            <v>Муниципальный район "Боровский район"</v>
          </cell>
          <cell r="I20" t="str">
            <v>Капитальный ремонт</v>
          </cell>
          <cell r="J20" t="str">
            <v>КНС</v>
          </cell>
          <cell r="L20">
            <v>1</v>
          </cell>
          <cell r="Q20" t="str">
            <v>2020-2025</v>
          </cell>
        </row>
        <row r="21">
          <cell r="B21" t="str">
            <v>Муниципальный район "Боровский район"</v>
          </cell>
          <cell r="I21" t="str">
            <v>Капитальный ремонт</v>
          </cell>
          <cell r="J21" t="str">
            <v>КНС</v>
          </cell>
          <cell r="L21">
            <v>1</v>
          </cell>
          <cell r="Q21" t="str">
            <v>2020-2025</v>
          </cell>
        </row>
        <row r="22">
          <cell r="B22" t="str">
            <v>Муниципальный район "Боровский район"</v>
          </cell>
          <cell r="I22" t="str">
            <v>Капитальный ремонт</v>
          </cell>
          <cell r="J22" t="str">
            <v>КНС</v>
          </cell>
          <cell r="L22">
            <v>1</v>
          </cell>
          <cell r="Q22" t="str">
            <v>2020-2025</v>
          </cell>
        </row>
        <row r="23">
          <cell r="B23" t="str">
            <v>Муниципальный район "Боровский район"</v>
          </cell>
          <cell r="I23" t="str">
            <v>Новое строительство</v>
          </cell>
          <cell r="J23" t="str">
            <v>КНС</v>
          </cell>
          <cell r="L23">
            <v>1</v>
          </cell>
          <cell r="Q23" t="str">
            <v>2020-2025</v>
          </cell>
        </row>
        <row r="24">
          <cell r="B24" t="str">
            <v>Муниципальный район "Боровский район"</v>
          </cell>
          <cell r="I24" t="str">
            <v>Капитальный ремонт</v>
          </cell>
          <cell r="J24" t="str">
            <v>КНС</v>
          </cell>
          <cell r="L24">
            <v>1</v>
          </cell>
          <cell r="Q24" t="str">
            <v>2020-2025</v>
          </cell>
        </row>
        <row r="25">
          <cell r="B25" t="str">
            <v>Муниципальный район "Боровский район"</v>
          </cell>
          <cell r="I25" t="str">
            <v>Реконструкция</v>
          </cell>
          <cell r="J25" t="str">
            <v>КНС</v>
          </cell>
          <cell r="L25">
            <v>1</v>
          </cell>
          <cell r="Q25" t="str">
            <v>2020-2025</v>
          </cell>
        </row>
        <row r="26">
          <cell r="B26" t="str">
            <v>Муниципальный район "Боровский район"</v>
          </cell>
          <cell r="I26" t="str">
            <v>Реконструкция</v>
          </cell>
          <cell r="J26" t="str">
            <v>КНС</v>
          </cell>
          <cell r="L26">
            <v>1</v>
          </cell>
          <cell r="Q26" t="str">
            <v>2020-2025</v>
          </cell>
        </row>
        <row r="27">
          <cell r="B27" t="str">
            <v>Муниципальный район "Боровский район"</v>
          </cell>
          <cell r="I27" t="str">
            <v>Реконструкция</v>
          </cell>
          <cell r="J27" t="str">
            <v>КНС</v>
          </cell>
          <cell r="L27">
            <v>1</v>
          </cell>
          <cell r="Q27" t="str">
            <v>2020-2025</v>
          </cell>
        </row>
        <row r="28">
          <cell r="B28" t="str">
            <v>Муниципальный район "Боровский район"</v>
          </cell>
          <cell r="I28" t="str">
            <v>Реконструкция</v>
          </cell>
          <cell r="J28" t="str">
            <v>КНС</v>
          </cell>
          <cell r="L28">
            <v>1</v>
          </cell>
          <cell r="Q28" t="str">
            <v>2020-2025</v>
          </cell>
        </row>
        <row r="29">
          <cell r="B29" t="str">
            <v>Муниципальный район "Боровский район"</v>
          </cell>
          <cell r="I29" t="str">
            <v>Реконструкция</v>
          </cell>
          <cell r="J29" t="str">
            <v>КНС</v>
          </cell>
          <cell r="L29">
            <v>1</v>
          </cell>
          <cell r="Q29" t="str">
            <v>2020-2025</v>
          </cell>
        </row>
        <row r="30">
          <cell r="B30" t="str">
            <v>Муниципальный район "Боровский район"</v>
          </cell>
          <cell r="I30" t="str">
            <v>Реконструкция</v>
          </cell>
          <cell r="J30" t="str">
            <v>КНС</v>
          </cell>
          <cell r="L30">
            <v>1</v>
          </cell>
          <cell r="Q30" t="str">
            <v>2020-2025</v>
          </cell>
        </row>
        <row r="31">
          <cell r="B31" t="str">
            <v>Муниципальный район "Боровский район"</v>
          </cell>
          <cell r="I31" t="str">
            <v>Реконструкция</v>
          </cell>
          <cell r="J31" t="str">
            <v>КНС</v>
          </cell>
          <cell r="L31">
            <v>1</v>
          </cell>
          <cell r="Q31" t="str">
            <v>2026-2030</v>
          </cell>
        </row>
        <row r="32">
          <cell r="B32" t="str">
            <v>Муниципальный район "Боровский район"</v>
          </cell>
          <cell r="I32" t="str">
            <v>Реконструкция</v>
          </cell>
          <cell r="J32" t="str">
            <v>КНС</v>
          </cell>
          <cell r="L32">
            <v>1</v>
          </cell>
          <cell r="Q32" t="str">
            <v>2026-2030</v>
          </cell>
        </row>
        <row r="33">
          <cell r="B33">
            <v>0</v>
          </cell>
          <cell r="I33">
            <v>0</v>
          </cell>
          <cell r="J33" t="str">
            <v>прочее</v>
          </cell>
          <cell r="L33">
            <v>19</v>
          </cell>
          <cell r="Q33" t="str">
            <v/>
          </cell>
        </row>
        <row r="34">
          <cell r="B34" t="str">
            <v>Муниципальный район "Боровский район"</v>
          </cell>
          <cell r="I34" t="str">
            <v>ПИР и ПСД</v>
          </cell>
          <cell r="J34" t="str">
            <v>прочее</v>
          </cell>
          <cell r="L34">
            <v>1</v>
          </cell>
          <cell r="Q34" t="str">
            <v>2020-2025</v>
          </cell>
        </row>
        <row r="35">
          <cell r="B35" t="str">
            <v>Муниципальный район "Боровский район"</v>
          </cell>
          <cell r="I35" t="str">
            <v>ПИР и ПСД</v>
          </cell>
          <cell r="J35" t="str">
            <v>прочее</v>
          </cell>
          <cell r="L35">
            <v>1</v>
          </cell>
          <cell r="Q35" t="str">
            <v>2020-2025</v>
          </cell>
        </row>
        <row r="36">
          <cell r="B36" t="str">
            <v>Муниципальный район "Боровский район"</v>
          </cell>
          <cell r="I36" t="str">
            <v>ПИР и ПСД</v>
          </cell>
          <cell r="J36" t="str">
            <v>прочее</v>
          </cell>
          <cell r="L36">
            <v>1</v>
          </cell>
          <cell r="Q36" t="str">
            <v>2020-2025</v>
          </cell>
        </row>
        <row r="37">
          <cell r="B37" t="str">
            <v>Муниципальный район "Боровский район"</v>
          </cell>
          <cell r="I37" t="str">
            <v>ПИР и ПСД</v>
          </cell>
          <cell r="J37" t="str">
            <v>прочее</v>
          </cell>
          <cell r="L37">
            <v>1</v>
          </cell>
          <cell r="Q37" t="str">
            <v>2020-2025</v>
          </cell>
        </row>
        <row r="38">
          <cell r="B38" t="str">
            <v>Муниципальный район "Боровский район"</v>
          </cell>
          <cell r="I38" t="str">
            <v>ПИР и ПСД</v>
          </cell>
          <cell r="J38" t="str">
            <v>прочее</v>
          </cell>
          <cell r="L38">
            <v>1</v>
          </cell>
          <cell r="Q38" t="str">
            <v>2020-2025</v>
          </cell>
        </row>
        <row r="39">
          <cell r="B39" t="str">
            <v>Муниципальный район "Боровский район"</v>
          </cell>
          <cell r="I39" t="str">
            <v>ПИР и ПСД</v>
          </cell>
          <cell r="J39" t="str">
            <v>прочее</v>
          </cell>
          <cell r="L39">
            <v>1</v>
          </cell>
          <cell r="Q39" t="str">
            <v>2020-2025</v>
          </cell>
        </row>
        <row r="40">
          <cell r="B40" t="str">
            <v>Муниципальный район "Боровский район"</v>
          </cell>
          <cell r="I40" t="str">
            <v>ПИР и ПСД</v>
          </cell>
          <cell r="J40" t="str">
            <v>прочее</v>
          </cell>
          <cell r="L40">
            <v>1</v>
          </cell>
          <cell r="Q40" t="str">
            <v>2020-2025</v>
          </cell>
        </row>
        <row r="41">
          <cell r="B41" t="str">
            <v>Муниципальный район "Боровский район"</v>
          </cell>
          <cell r="I41" t="str">
            <v>ПИР и ПСД</v>
          </cell>
          <cell r="J41" t="str">
            <v>прочее</v>
          </cell>
          <cell r="L41">
            <v>1</v>
          </cell>
          <cell r="Q41" t="str">
            <v>2020-2025</v>
          </cell>
        </row>
        <row r="42">
          <cell r="B42" t="str">
            <v>Муниципальный район "Боровский район"</v>
          </cell>
          <cell r="I42" t="str">
            <v>ПИР и ПСД</v>
          </cell>
          <cell r="J42" t="str">
            <v>прочее</v>
          </cell>
          <cell r="L42">
            <v>1</v>
          </cell>
          <cell r="Q42" t="str">
            <v>2020-2025</v>
          </cell>
        </row>
        <row r="43">
          <cell r="B43" t="str">
            <v>Муниципальный район "Боровский район"</v>
          </cell>
          <cell r="I43" t="str">
            <v>ПИР и ПСД</v>
          </cell>
          <cell r="J43" t="str">
            <v>прочее</v>
          </cell>
          <cell r="L43">
            <v>1</v>
          </cell>
          <cell r="Q43" t="str">
            <v>2020-2025</v>
          </cell>
        </row>
        <row r="44">
          <cell r="B44" t="str">
            <v>Муниципальный район "Боровский район"</v>
          </cell>
          <cell r="I44" t="str">
            <v>ПИР и ПСД</v>
          </cell>
          <cell r="J44" t="str">
            <v>прочее</v>
          </cell>
          <cell r="L44">
            <v>1</v>
          </cell>
          <cell r="Q44" t="str">
            <v>2020-2025</v>
          </cell>
        </row>
        <row r="45">
          <cell r="B45" t="str">
            <v>Муниципальный район "Боровский район"</v>
          </cell>
          <cell r="I45" t="str">
            <v>ПИР и ПСД</v>
          </cell>
          <cell r="J45" t="str">
            <v>прочее</v>
          </cell>
          <cell r="L45">
            <v>1</v>
          </cell>
          <cell r="Q45" t="str">
            <v>2020-2025</v>
          </cell>
        </row>
        <row r="46">
          <cell r="B46" t="str">
            <v>Муниципальный район "Боровский район"</v>
          </cell>
          <cell r="I46" t="str">
            <v>ПИР и ПСД</v>
          </cell>
          <cell r="J46" t="str">
            <v>прочее</v>
          </cell>
          <cell r="L46">
            <v>1</v>
          </cell>
          <cell r="Q46" t="str">
            <v>2020-2025</v>
          </cell>
        </row>
        <row r="47">
          <cell r="B47" t="str">
            <v>Муниципальный район "Боровский район"</v>
          </cell>
          <cell r="I47" t="str">
            <v>ПИР и ПСД</v>
          </cell>
          <cell r="J47" t="str">
            <v>прочее</v>
          </cell>
          <cell r="L47">
            <v>1</v>
          </cell>
          <cell r="Q47" t="str">
            <v>2020-2025</v>
          </cell>
        </row>
        <row r="48">
          <cell r="B48" t="str">
            <v>Муниципальный район "Боровский район"</v>
          </cell>
          <cell r="I48" t="str">
            <v>ПИР и ПСД</v>
          </cell>
          <cell r="J48" t="str">
            <v>прочее</v>
          </cell>
          <cell r="L48">
            <v>1</v>
          </cell>
          <cell r="Q48" t="str">
            <v>2020-2025</v>
          </cell>
        </row>
        <row r="49">
          <cell r="B49" t="str">
            <v>Муниципальный район "Боровский район"</v>
          </cell>
          <cell r="I49" t="str">
            <v>ПИР и ПСД</v>
          </cell>
          <cell r="J49" t="str">
            <v>прочее</v>
          </cell>
          <cell r="L49">
            <v>1</v>
          </cell>
          <cell r="Q49" t="str">
            <v>2020-2025</v>
          </cell>
        </row>
        <row r="50">
          <cell r="B50" t="str">
            <v>Муниципальный район "Боровский район"</v>
          </cell>
          <cell r="I50" t="str">
            <v>ПИР и ПСД</v>
          </cell>
          <cell r="J50" t="str">
            <v>прочее</v>
          </cell>
          <cell r="L50">
            <v>1</v>
          </cell>
          <cell r="Q50" t="str">
            <v>2020-2025</v>
          </cell>
        </row>
        <row r="51">
          <cell r="B51" t="str">
            <v>Муниципальный район "Боровский район"</v>
          </cell>
          <cell r="I51" t="str">
            <v>ПИР и ПСД</v>
          </cell>
          <cell r="J51" t="str">
            <v>прочее</v>
          </cell>
          <cell r="L51">
            <v>1</v>
          </cell>
          <cell r="Q51" t="str">
            <v>2020-2025</v>
          </cell>
        </row>
        <row r="52">
          <cell r="B52" t="str">
            <v>Муниципальный район "Боровский район"</v>
          </cell>
          <cell r="I52" t="str">
            <v>ПИР и ПСД</v>
          </cell>
          <cell r="J52" t="str">
            <v>прочее</v>
          </cell>
          <cell r="L52">
            <v>1</v>
          </cell>
          <cell r="Q52" t="str">
            <v>2020-2025</v>
          </cell>
        </row>
        <row r="53">
          <cell r="B53">
            <v>0</v>
          </cell>
          <cell r="I53">
            <v>0</v>
          </cell>
          <cell r="J53" t="str">
            <v>прочее</v>
          </cell>
          <cell r="L53">
            <v>12</v>
          </cell>
          <cell r="Q53" t="str">
            <v/>
          </cell>
        </row>
        <row r="54">
          <cell r="B54" t="str">
            <v>Муниципальный район "Боровский район"</v>
          </cell>
          <cell r="I54" t="str">
            <v>ПИР и ПСД</v>
          </cell>
          <cell r="J54" t="str">
            <v>прочее</v>
          </cell>
          <cell r="L54">
            <v>1</v>
          </cell>
          <cell r="Q54" t="str">
            <v>2020-2025</v>
          </cell>
        </row>
        <row r="55">
          <cell r="B55" t="str">
            <v>Муниципальный район "Боровский район"</v>
          </cell>
          <cell r="I55" t="str">
            <v>ПИР и ПСД</v>
          </cell>
          <cell r="J55" t="str">
            <v>прочее</v>
          </cell>
          <cell r="L55">
            <v>1</v>
          </cell>
          <cell r="Q55" t="str">
            <v>2020-2025</v>
          </cell>
        </row>
        <row r="56">
          <cell r="B56" t="str">
            <v>Муниципальный район "Боровский район"</v>
          </cell>
          <cell r="I56" t="str">
            <v>ПИР и ПСД</v>
          </cell>
          <cell r="J56" t="str">
            <v>прочее</v>
          </cell>
          <cell r="L56">
            <v>1</v>
          </cell>
          <cell r="Q56" t="str">
            <v>2020-2025</v>
          </cell>
        </row>
        <row r="57">
          <cell r="B57" t="str">
            <v>Муниципальный район "Боровский район"</v>
          </cell>
          <cell r="I57" t="str">
            <v>ПИР и ПСД</v>
          </cell>
          <cell r="J57" t="str">
            <v>прочее</v>
          </cell>
          <cell r="L57">
            <v>1</v>
          </cell>
          <cell r="Q57" t="str">
            <v>2020-2025</v>
          </cell>
        </row>
        <row r="58">
          <cell r="B58" t="str">
            <v>Муниципальный район "Боровский район"</v>
          </cell>
          <cell r="I58" t="str">
            <v>ПИР и ПСД</v>
          </cell>
          <cell r="J58" t="str">
            <v>прочее</v>
          </cell>
          <cell r="L58">
            <v>1</v>
          </cell>
          <cell r="Q58" t="str">
            <v>2020-2025</v>
          </cell>
        </row>
        <row r="59">
          <cell r="B59" t="str">
            <v>Муниципальный район "Боровский район"</v>
          </cell>
          <cell r="I59" t="str">
            <v>ПИР и ПСД</v>
          </cell>
          <cell r="J59" t="str">
            <v>прочее</v>
          </cell>
          <cell r="L59">
            <v>1</v>
          </cell>
          <cell r="Q59" t="str">
            <v>2020-2025</v>
          </cell>
        </row>
        <row r="60">
          <cell r="B60" t="str">
            <v>Муниципальный район "Боровский район"</v>
          </cell>
          <cell r="I60" t="str">
            <v>ПИР и ПСД</v>
          </cell>
          <cell r="J60" t="str">
            <v>прочее</v>
          </cell>
          <cell r="L60">
            <v>1</v>
          </cell>
          <cell r="Q60" t="str">
            <v>2020-2025</v>
          </cell>
        </row>
        <row r="61">
          <cell r="B61" t="str">
            <v>Муниципальный район "Боровский район"</v>
          </cell>
          <cell r="I61" t="str">
            <v>ПИР и ПСД</v>
          </cell>
          <cell r="J61" t="str">
            <v>прочее</v>
          </cell>
          <cell r="L61">
            <v>1</v>
          </cell>
          <cell r="Q61" t="str">
            <v>2020-2025</v>
          </cell>
        </row>
        <row r="62">
          <cell r="B62" t="str">
            <v>Муниципальный район "Боровский район"</v>
          </cell>
          <cell r="I62" t="str">
            <v>ПИР и ПСД</v>
          </cell>
          <cell r="J62" t="str">
            <v>прочее</v>
          </cell>
          <cell r="L62">
            <v>1</v>
          </cell>
          <cell r="Q62" t="str">
            <v>2020-2025</v>
          </cell>
        </row>
        <row r="63">
          <cell r="B63" t="str">
            <v>Муниципальный район "Боровский район"</v>
          </cell>
          <cell r="I63" t="str">
            <v>ПИР и ПСД</v>
          </cell>
          <cell r="J63" t="str">
            <v>прочее</v>
          </cell>
          <cell r="L63">
            <v>1</v>
          </cell>
          <cell r="Q63" t="str">
            <v>2020-2025</v>
          </cell>
        </row>
        <row r="64">
          <cell r="B64" t="str">
            <v>Муниципальный район "Боровский район"</v>
          </cell>
          <cell r="I64" t="str">
            <v>ПИР и ПСД</v>
          </cell>
          <cell r="J64" t="str">
            <v>прочее</v>
          </cell>
          <cell r="L64">
            <v>1</v>
          </cell>
          <cell r="Q64" t="str">
            <v>2020-2025</v>
          </cell>
        </row>
        <row r="65">
          <cell r="B65" t="str">
            <v>Муниципальный район "Боровский район"</v>
          </cell>
          <cell r="I65" t="str">
            <v>ПИР и ПСД</v>
          </cell>
          <cell r="J65" t="str">
            <v>прочее</v>
          </cell>
          <cell r="L65">
            <v>1</v>
          </cell>
          <cell r="Q65" t="str">
            <v>2020-2025</v>
          </cell>
        </row>
        <row r="66">
          <cell r="B66">
            <v>0</v>
          </cell>
          <cell r="I66">
            <v>0</v>
          </cell>
          <cell r="J66" t="str">
            <v>канализационная сеть</v>
          </cell>
          <cell r="L66">
            <v>2.8</v>
          </cell>
          <cell r="Q66" t="str">
            <v/>
          </cell>
        </row>
        <row r="67">
          <cell r="B67" t="str">
            <v>Муниципальный район "Боровский район"</v>
          </cell>
          <cell r="I67" t="str">
            <v>Новое строительство</v>
          </cell>
          <cell r="J67" t="str">
            <v>напорная канализационная сеть</v>
          </cell>
          <cell r="L67">
            <v>2.8</v>
          </cell>
          <cell r="Q67" t="str">
            <v>2020-2025</v>
          </cell>
        </row>
        <row r="68">
          <cell r="B68">
            <v>0</v>
          </cell>
          <cell r="I68">
            <v>0</v>
          </cell>
          <cell r="J68" t="str">
            <v>канализационная сеть</v>
          </cell>
          <cell r="L68">
            <v>46.634900000000002</v>
          </cell>
          <cell r="Q68" t="str">
            <v/>
          </cell>
        </row>
        <row r="69">
          <cell r="B69" t="str">
            <v>Муниципальный район "Боровский район"</v>
          </cell>
          <cell r="I69" t="str">
            <v>Реконструкция</v>
          </cell>
          <cell r="J69" t="str">
            <v>самотечная канализационная сеть</v>
          </cell>
          <cell r="L69">
            <v>26.814900000000005</v>
          </cell>
          <cell r="Q69" t="str">
            <v>2020-2058</v>
          </cell>
        </row>
        <row r="70">
          <cell r="B70" t="str">
            <v>Муниципальный район "Боровский район"</v>
          </cell>
          <cell r="I70" t="str">
            <v>Реконструкция</v>
          </cell>
          <cell r="J70" t="str">
            <v>самотечная канализационная сеть</v>
          </cell>
          <cell r="L70">
            <v>5.0999999999999996</v>
          </cell>
          <cell r="Q70" t="str">
            <v>2020-2058</v>
          </cell>
        </row>
        <row r="71">
          <cell r="B71" t="str">
            <v>Муниципальный район "Боровский район"</v>
          </cell>
          <cell r="I71" t="str">
            <v>Реконструкция</v>
          </cell>
          <cell r="J71" t="str">
            <v>самотечная канализационная сеть</v>
          </cell>
          <cell r="L71">
            <v>14.24</v>
          </cell>
          <cell r="Q71" t="str">
            <v>2020-2058</v>
          </cell>
        </row>
        <row r="72">
          <cell r="B72" t="str">
            <v>Муниципальный район "Боровский район"</v>
          </cell>
          <cell r="I72" t="str">
            <v>Реконструкция</v>
          </cell>
          <cell r="J72" t="str">
            <v>самотечная канализационная сеть</v>
          </cell>
          <cell r="L72">
            <v>0.48</v>
          </cell>
          <cell r="Q72" t="str">
            <v>2020-2058</v>
          </cell>
        </row>
        <row r="73">
          <cell r="B73" t="str">
            <v>Центральный филиал</v>
          </cell>
          <cell r="I73">
            <v>0</v>
          </cell>
          <cell r="J73">
            <v>0</v>
          </cell>
          <cell r="L73">
            <v>0</v>
          </cell>
          <cell r="Q73" t="str">
            <v/>
          </cell>
        </row>
        <row r="74">
          <cell r="B74">
            <v>0</v>
          </cell>
          <cell r="I74">
            <v>0</v>
          </cell>
          <cell r="J74" t="str">
            <v>сооружения канализации</v>
          </cell>
          <cell r="L74">
            <v>5</v>
          </cell>
          <cell r="Q74" t="str">
            <v/>
          </cell>
        </row>
        <row r="75">
          <cell r="B75" t="str">
            <v>Муниципальный район "Бабынинский район"</v>
          </cell>
          <cell r="I75" t="str">
            <v>Реконструкция</v>
          </cell>
          <cell r="J75" t="str">
            <v>ОСК</v>
          </cell>
          <cell r="L75">
            <v>1</v>
          </cell>
          <cell r="Q75" t="str">
            <v>2020-2025</v>
          </cell>
        </row>
        <row r="76">
          <cell r="B76" t="str">
            <v>Муниципальный район "Бабынинский район"</v>
          </cell>
          <cell r="I76" t="str">
            <v>Реконструкция</v>
          </cell>
          <cell r="J76" t="str">
            <v>ОСК</v>
          </cell>
          <cell r="L76">
            <v>1</v>
          </cell>
          <cell r="Q76" t="str">
            <v>2020-2025</v>
          </cell>
        </row>
        <row r="77">
          <cell r="B77" t="str">
            <v>Муниципальный район "Малоярославецкий район"</v>
          </cell>
          <cell r="I77" t="str">
            <v>Реконструкция</v>
          </cell>
          <cell r="J77" t="str">
            <v>ОСК</v>
          </cell>
          <cell r="L77">
            <v>1</v>
          </cell>
          <cell r="Q77" t="str">
            <v>2026-2030</v>
          </cell>
        </row>
        <row r="78">
          <cell r="B78" t="str">
            <v>Муниципальный район "Перемышльский район"</v>
          </cell>
          <cell r="I78" t="str">
            <v>Реконструкция</v>
          </cell>
          <cell r="J78" t="str">
            <v>ОСК</v>
          </cell>
          <cell r="L78">
            <v>1</v>
          </cell>
          <cell r="Q78" t="str">
            <v>2020-2025</v>
          </cell>
        </row>
        <row r="79">
          <cell r="B79" t="str">
            <v>Муниципальный район "Тарусский район"</v>
          </cell>
          <cell r="I79" t="str">
            <v>Реконструкция</v>
          </cell>
          <cell r="J79" t="str">
            <v>ОСК</v>
          </cell>
          <cell r="L79">
            <v>1</v>
          </cell>
          <cell r="Q79" t="str">
            <v>2026-2030</v>
          </cell>
        </row>
        <row r="80">
          <cell r="B80" t="str">
            <v>Центральный филиал</v>
          </cell>
          <cell r="I80">
            <v>0</v>
          </cell>
          <cell r="J80" t="str">
            <v>сооружения канализации</v>
          </cell>
          <cell r="L80">
            <v>7</v>
          </cell>
          <cell r="Q80" t="str">
            <v/>
          </cell>
        </row>
        <row r="81">
          <cell r="B81" t="str">
            <v>Муниципальный район "Бабынинский район"</v>
          </cell>
          <cell r="I81" t="str">
            <v>Капитальный ремонт</v>
          </cell>
          <cell r="J81" t="str">
            <v>КНС</v>
          </cell>
          <cell r="L81">
            <v>1</v>
          </cell>
          <cell r="Q81" t="str">
            <v>2026-2030</v>
          </cell>
        </row>
        <row r="82">
          <cell r="B82" t="str">
            <v>Муниципальный район "Бабынинский район"</v>
          </cell>
          <cell r="I82" t="str">
            <v>Капитальный ремонт</v>
          </cell>
          <cell r="J82" t="str">
            <v>КНС</v>
          </cell>
          <cell r="L82">
            <v>1</v>
          </cell>
          <cell r="Q82" t="str">
            <v>2020-2025</v>
          </cell>
        </row>
        <row r="83">
          <cell r="B83" t="str">
            <v>Муниципальный район "Малоярославецкий район"</v>
          </cell>
          <cell r="I83" t="str">
            <v>Капитальный ремонт</v>
          </cell>
          <cell r="J83" t="str">
            <v>КНС</v>
          </cell>
          <cell r="L83">
            <v>1</v>
          </cell>
          <cell r="Q83" t="str">
            <v>2026-2030</v>
          </cell>
        </row>
        <row r="84">
          <cell r="B84" t="str">
            <v>Муниципальный район "Тарусский район"</v>
          </cell>
          <cell r="I84" t="str">
            <v>Капитальный ремонт</v>
          </cell>
          <cell r="J84" t="str">
            <v>КНС</v>
          </cell>
          <cell r="L84">
            <v>1</v>
          </cell>
          <cell r="Q84" t="str">
            <v>2026-2030</v>
          </cell>
        </row>
        <row r="85">
          <cell r="B85" t="str">
            <v>Муниципальный район "Бабынинский район"</v>
          </cell>
          <cell r="I85" t="str">
            <v>Реконструкция</v>
          </cell>
          <cell r="J85" t="str">
            <v>КНС</v>
          </cell>
          <cell r="L85">
            <v>1</v>
          </cell>
          <cell r="Q85" t="str">
            <v>2026-2030</v>
          </cell>
        </row>
        <row r="86">
          <cell r="B86" t="str">
            <v>Муниципальный район "Перемышльский район"</v>
          </cell>
          <cell r="I86" t="str">
            <v>Реконструкция</v>
          </cell>
          <cell r="J86" t="str">
            <v>КНС</v>
          </cell>
          <cell r="L86">
            <v>1</v>
          </cell>
          <cell r="Q86" t="str">
            <v>2026-2030</v>
          </cell>
        </row>
        <row r="87">
          <cell r="B87" t="str">
            <v>Муниципальный район "Малоярославецкий район"</v>
          </cell>
          <cell r="I87" t="str">
            <v>Реконструкция</v>
          </cell>
          <cell r="J87" t="str">
            <v>КНС</v>
          </cell>
          <cell r="L87">
            <v>1</v>
          </cell>
          <cell r="Q87" t="str">
            <v>2026-2030</v>
          </cell>
        </row>
        <row r="88">
          <cell r="B88" t="str">
            <v>Центральный филиал</v>
          </cell>
          <cell r="I88">
            <v>0</v>
          </cell>
          <cell r="J88" t="str">
            <v>прочее</v>
          </cell>
          <cell r="L88">
            <v>11</v>
          </cell>
          <cell r="Q88" t="str">
            <v/>
          </cell>
        </row>
        <row r="89">
          <cell r="B89" t="str">
            <v>Муниципальный район "Бабынинский район"</v>
          </cell>
          <cell r="I89" t="str">
            <v>ПИР и ПСД</v>
          </cell>
          <cell r="J89" t="str">
            <v>прочее</v>
          </cell>
          <cell r="L89">
            <v>1</v>
          </cell>
          <cell r="Q89" t="str">
            <v>2020-2025</v>
          </cell>
        </row>
        <row r="90">
          <cell r="B90" t="str">
            <v>Муниципальный район "Бабынинский район"</v>
          </cell>
          <cell r="I90" t="str">
            <v>ПИР и ПСД</v>
          </cell>
          <cell r="J90" t="str">
            <v>прочее</v>
          </cell>
          <cell r="L90">
            <v>1</v>
          </cell>
          <cell r="Q90" t="str">
            <v>2020-2025</v>
          </cell>
        </row>
        <row r="91">
          <cell r="B91" t="str">
            <v>Муниципальный район "Перемышльский район"</v>
          </cell>
          <cell r="I91" t="str">
            <v>ПИР и ПСД</v>
          </cell>
          <cell r="J91" t="str">
            <v>прочее</v>
          </cell>
          <cell r="L91">
            <v>1</v>
          </cell>
          <cell r="Q91" t="str">
            <v>2020-2025</v>
          </cell>
        </row>
        <row r="92">
          <cell r="B92" t="str">
            <v>Муниципальный район "Малоярославецкий район"</v>
          </cell>
          <cell r="I92" t="str">
            <v>ПИР и ПСД</v>
          </cell>
          <cell r="J92" t="str">
            <v>прочее</v>
          </cell>
          <cell r="L92">
            <v>1</v>
          </cell>
          <cell r="Q92" t="str">
            <v>2020-2025</v>
          </cell>
        </row>
        <row r="93">
          <cell r="B93" t="str">
            <v>Муниципальный район "Малоярославецкий район"</v>
          </cell>
          <cell r="I93" t="str">
            <v>ПИР и ПСД</v>
          </cell>
          <cell r="J93" t="str">
            <v>прочее</v>
          </cell>
          <cell r="L93">
            <v>1</v>
          </cell>
          <cell r="Q93" t="str">
            <v>2020-2025</v>
          </cell>
        </row>
        <row r="94">
          <cell r="B94" t="str">
            <v>Муниципальный район "Тарусский район"</v>
          </cell>
          <cell r="I94" t="str">
            <v>ПИР и ПСД</v>
          </cell>
          <cell r="J94" t="str">
            <v>прочее</v>
          </cell>
          <cell r="L94">
            <v>1</v>
          </cell>
          <cell r="Q94" t="str">
            <v>2020-2025</v>
          </cell>
        </row>
        <row r="95">
          <cell r="B95" t="str">
            <v>Муниципальный район "Бабынинский район"</v>
          </cell>
          <cell r="I95" t="str">
            <v>ПИР и ПСД</v>
          </cell>
          <cell r="J95" t="str">
            <v>прочее</v>
          </cell>
          <cell r="L95">
            <v>1</v>
          </cell>
          <cell r="Q95" t="str">
            <v>2020-2025</v>
          </cell>
        </row>
        <row r="96">
          <cell r="B96" t="str">
            <v>Муниципальный район "Бабынинский район"</v>
          </cell>
          <cell r="I96" t="str">
            <v>ПИР и ПСД</v>
          </cell>
          <cell r="J96" t="str">
            <v>прочее</v>
          </cell>
          <cell r="L96">
            <v>1</v>
          </cell>
          <cell r="Q96" t="str">
            <v>2020-2025</v>
          </cell>
        </row>
        <row r="97">
          <cell r="B97" t="str">
            <v>Муниципальный район "Малоярославецкий район"</v>
          </cell>
          <cell r="I97" t="str">
            <v>ПИР и ПСД</v>
          </cell>
          <cell r="J97" t="str">
            <v>прочее</v>
          </cell>
          <cell r="L97">
            <v>1</v>
          </cell>
          <cell r="Q97" t="str">
            <v>2020-2025</v>
          </cell>
        </row>
        <row r="98">
          <cell r="B98" t="str">
            <v>Муниципальный район "Перемышльский район"</v>
          </cell>
          <cell r="I98" t="str">
            <v>ПИР и ПСД</v>
          </cell>
          <cell r="J98" t="str">
            <v>прочее</v>
          </cell>
          <cell r="L98">
            <v>1</v>
          </cell>
          <cell r="Q98" t="str">
            <v>2020-2025</v>
          </cell>
        </row>
        <row r="99">
          <cell r="B99" t="str">
            <v>Муниципальный район "Тарусский район"</v>
          </cell>
          <cell r="I99" t="str">
            <v>ПИР и ПСД</v>
          </cell>
          <cell r="J99" t="str">
            <v>прочее</v>
          </cell>
          <cell r="L99">
            <v>1</v>
          </cell>
          <cell r="Q99" t="str">
            <v>2020-2025</v>
          </cell>
        </row>
        <row r="100">
          <cell r="B100" t="str">
            <v>Центральный филиал</v>
          </cell>
          <cell r="I100">
            <v>0</v>
          </cell>
          <cell r="J100" t="str">
            <v>прочее</v>
          </cell>
          <cell r="L100">
            <v>5</v>
          </cell>
          <cell r="Q100" t="str">
            <v/>
          </cell>
        </row>
        <row r="101">
          <cell r="B101" t="str">
            <v>Муниципальный район "Бабынинский район"</v>
          </cell>
          <cell r="I101" t="str">
            <v>Новое строительство</v>
          </cell>
          <cell r="J101" t="str">
            <v>прочее</v>
          </cell>
          <cell r="L101">
            <v>1</v>
          </cell>
          <cell r="Q101" t="str">
            <v>2026-2030</v>
          </cell>
        </row>
        <row r="102">
          <cell r="B102" t="str">
            <v>Муниципальный район "Перемышльский район"</v>
          </cell>
          <cell r="I102" t="str">
            <v>Новое строительство</v>
          </cell>
          <cell r="J102" t="str">
            <v>прочее</v>
          </cell>
          <cell r="L102">
            <v>1</v>
          </cell>
          <cell r="Q102" t="str">
            <v>2026-2030</v>
          </cell>
        </row>
        <row r="103">
          <cell r="B103" t="str">
            <v>Муниципальный район "Малоярославецкий район"</v>
          </cell>
          <cell r="I103" t="str">
            <v>Новое строительство</v>
          </cell>
          <cell r="J103" t="str">
            <v>прочее</v>
          </cell>
          <cell r="L103">
            <v>1</v>
          </cell>
          <cell r="Q103" t="str">
            <v>2026-2030</v>
          </cell>
        </row>
        <row r="104">
          <cell r="B104" t="str">
            <v>Муниципальный район "Малоярославецкий район"</v>
          </cell>
          <cell r="I104" t="str">
            <v>Новое строительство</v>
          </cell>
          <cell r="J104" t="str">
            <v>прочее</v>
          </cell>
          <cell r="L104">
            <v>1</v>
          </cell>
          <cell r="Q104" t="str">
            <v>2026-2030</v>
          </cell>
        </row>
        <row r="105">
          <cell r="B105" t="str">
            <v>Муниципальный район "Тарусский район"</v>
          </cell>
          <cell r="I105" t="str">
            <v>Новое строительство</v>
          </cell>
          <cell r="J105" t="str">
            <v>прочее</v>
          </cell>
          <cell r="L105">
            <v>1</v>
          </cell>
          <cell r="Q105" t="str">
            <v>2026-2030</v>
          </cell>
        </row>
        <row r="106">
          <cell r="B106" t="str">
            <v>Центральный филиал</v>
          </cell>
          <cell r="I106">
            <v>0</v>
          </cell>
          <cell r="J106" t="str">
            <v>канализационная сеть</v>
          </cell>
          <cell r="L106">
            <v>44.779871999999997</v>
          </cell>
          <cell r="Q106" t="str">
            <v/>
          </cell>
        </row>
        <row r="107">
          <cell r="B107" t="str">
            <v>Муниципальный район "Бабынинский район"</v>
          </cell>
          <cell r="I107" t="str">
            <v>Реконструкция</v>
          </cell>
          <cell r="J107" t="str">
            <v>самотечная канализационная сеть</v>
          </cell>
          <cell r="L107">
            <v>0.52133076923076893</v>
          </cell>
          <cell r="Q107" t="str">
            <v>2020-2058</v>
          </cell>
        </row>
        <row r="108">
          <cell r="B108" t="str">
            <v>Муниципальный район "Бабынинский район"</v>
          </cell>
          <cell r="I108" t="str">
            <v>Реконструкция</v>
          </cell>
          <cell r="J108" t="str">
            <v>самотечная канализационная сеть</v>
          </cell>
          <cell r="L108">
            <v>1.0426615384615379</v>
          </cell>
          <cell r="Q108" t="str">
            <v>2020-2058</v>
          </cell>
        </row>
        <row r="109">
          <cell r="B109" t="str">
            <v>Муниципальный район "Бабынинский район"</v>
          </cell>
          <cell r="I109" t="str">
            <v>Реконструкция</v>
          </cell>
          <cell r="J109" t="str">
            <v>самотечная канализационная сеть</v>
          </cell>
          <cell r="L109">
            <v>0.89190769230769129</v>
          </cell>
          <cell r="Q109" t="str">
            <v>2020-2058</v>
          </cell>
        </row>
        <row r="110">
          <cell r="B110" t="str">
            <v>Городской округ "Город Калуга"</v>
          </cell>
          <cell r="I110" t="str">
            <v>Реконструкция</v>
          </cell>
          <cell r="J110" t="str">
            <v>самотечная канализационная сеть</v>
          </cell>
          <cell r="L110">
            <v>0.62378030769230819</v>
          </cell>
          <cell r="Q110" t="str">
            <v>2020-2058</v>
          </cell>
        </row>
        <row r="111">
          <cell r="B111" t="str">
            <v>Городской округ "Город Калуга"</v>
          </cell>
          <cell r="I111" t="str">
            <v>Реконструкция</v>
          </cell>
          <cell r="J111" t="str">
            <v>самотечная канализационная сеть</v>
          </cell>
          <cell r="L111">
            <v>1.2475606153846164</v>
          </cell>
          <cell r="Q111" t="str">
            <v>2020-2058</v>
          </cell>
        </row>
        <row r="112">
          <cell r="B112" t="str">
            <v>Городской округ "Город Калуга"</v>
          </cell>
          <cell r="I112" t="str">
            <v>Реконструкция</v>
          </cell>
          <cell r="J112" t="str">
            <v>самотечная канализационная сеть</v>
          </cell>
          <cell r="L112">
            <v>2.1832310769230792</v>
          </cell>
          <cell r="Q112" t="str">
            <v>2020-2058</v>
          </cell>
        </row>
        <row r="113">
          <cell r="B113" t="str">
            <v>Муниципальный район "Малоярославецкий район"</v>
          </cell>
          <cell r="I113" t="str">
            <v>Реконструкция</v>
          </cell>
          <cell r="J113" t="str">
            <v>самотечная канализационная сеть</v>
          </cell>
          <cell r="L113">
            <v>1.8970472222222214</v>
          </cell>
          <cell r="Q113" t="str">
            <v>2020-2058</v>
          </cell>
        </row>
        <row r="114">
          <cell r="B114" t="str">
            <v>Муниципальный район "Малоярославецкий район"</v>
          </cell>
          <cell r="I114" t="str">
            <v>Реконструкция</v>
          </cell>
          <cell r="J114" t="str">
            <v>самотечная канализационная сеть</v>
          </cell>
          <cell r="L114">
            <v>3.7940944444444429</v>
          </cell>
          <cell r="Q114" t="str">
            <v>2020-2058</v>
          </cell>
        </row>
        <row r="115">
          <cell r="B115" t="str">
            <v>Муниципальный район "Малоярославецкий район"</v>
          </cell>
          <cell r="I115" t="str">
            <v>Реконструкция</v>
          </cell>
          <cell r="J115" t="str">
            <v>самотечная канализационная сеть</v>
          </cell>
          <cell r="L115">
            <v>6.6396652777777749</v>
          </cell>
          <cell r="Q115" t="str">
            <v>2020-2058</v>
          </cell>
        </row>
        <row r="116">
          <cell r="B116" t="str">
            <v>Муниципальный район "Малоярославецкий район"</v>
          </cell>
          <cell r="I116" t="str">
            <v>Реконструкция</v>
          </cell>
          <cell r="J116" t="str">
            <v>самотечная канализационная сеть</v>
          </cell>
          <cell r="L116">
            <v>4.7426180555555604</v>
          </cell>
          <cell r="Q116" t="str">
            <v>2020-2058</v>
          </cell>
        </row>
        <row r="117">
          <cell r="B117" t="str">
            <v>Муниципальный район "Перемышльский район"</v>
          </cell>
          <cell r="I117" t="str">
            <v>Реконструкция</v>
          </cell>
          <cell r="J117" t="str">
            <v>самотечная канализационная сеть</v>
          </cell>
          <cell r="L117">
            <v>0.37530769230769218</v>
          </cell>
          <cell r="Q117" t="str">
            <v>2020-2058</v>
          </cell>
        </row>
        <row r="118">
          <cell r="B118" t="str">
            <v>Муниципальный район "Перемышльский район"</v>
          </cell>
          <cell r="I118" t="str">
            <v>Реконструкция</v>
          </cell>
          <cell r="J118" t="str">
            <v>самотечная канализационная сеть</v>
          </cell>
          <cell r="L118">
            <v>0.75061538461538435</v>
          </cell>
          <cell r="Q118" t="str">
            <v>2020-2058</v>
          </cell>
        </row>
        <row r="119">
          <cell r="B119" t="str">
            <v>Муниципальный район "Перемышльский район"</v>
          </cell>
          <cell r="I119" t="str">
            <v>Реконструкция</v>
          </cell>
          <cell r="J119" t="str">
            <v>самотечная канализационная сеть</v>
          </cell>
          <cell r="L119">
            <v>1.3135769230769221</v>
          </cell>
          <cell r="Q119" t="str">
            <v>2020-2058</v>
          </cell>
        </row>
        <row r="120">
          <cell r="B120" t="str">
            <v>Муниципальный район "Тарусский район"</v>
          </cell>
          <cell r="I120" t="str">
            <v>Реконструкция</v>
          </cell>
          <cell r="J120" t="str">
            <v>самотечная канализационная сеть</v>
          </cell>
          <cell r="L120">
            <v>2.0840527777777771</v>
          </cell>
          <cell r="Q120" t="str">
            <v>2020-2058</v>
          </cell>
        </row>
        <row r="121">
          <cell r="B121" t="str">
            <v>Муниципальный район "Тарусский район"</v>
          </cell>
          <cell r="I121" t="str">
            <v>Реконструкция</v>
          </cell>
          <cell r="J121" t="str">
            <v>самотечная канализационная сеть</v>
          </cell>
          <cell r="L121">
            <v>4.1681055555555542</v>
          </cell>
          <cell r="Q121" t="str">
            <v>2020-2058</v>
          </cell>
        </row>
        <row r="122">
          <cell r="B122" t="str">
            <v>Муниципальный район "Тарусский район"</v>
          </cell>
          <cell r="I122" t="str">
            <v>Реконструкция</v>
          </cell>
          <cell r="J122" t="str">
            <v>самотечная канализационная сеть</v>
          </cell>
          <cell r="L122">
            <v>7.2941847222222291</v>
          </cell>
          <cell r="Q122" t="str">
            <v>2020-2058</v>
          </cell>
        </row>
        <row r="123">
          <cell r="B123" t="str">
            <v>Муниципальный район "Тарусский район"</v>
          </cell>
          <cell r="I123" t="str">
            <v>Реконструкция</v>
          </cell>
          <cell r="J123" t="str">
            <v>самотечная канализационная сеть</v>
          </cell>
          <cell r="L123">
            <v>5.2101319444444396</v>
          </cell>
          <cell r="Q123" t="str">
            <v>2020-2058</v>
          </cell>
        </row>
        <row r="124">
          <cell r="B124" t="str">
            <v>Людиновский филиал</v>
          </cell>
          <cell r="I124">
            <v>0</v>
          </cell>
          <cell r="J124">
            <v>0</v>
          </cell>
          <cell r="L124">
            <v>0</v>
          </cell>
          <cell r="Q124" t="str">
            <v/>
          </cell>
        </row>
        <row r="125">
          <cell r="B125" t="str">
            <v>Людиновский филиал</v>
          </cell>
          <cell r="I125">
            <v>0</v>
          </cell>
          <cell r="J125" t="str">
            <v>сооружения канализации</v>
          </cell>
          <cell r="L125">
            <v>5</v>
          </cell>
          <cell r="Q125" t="str">
            <v/>
          </cell>
        </row>
        <row r="126">
          <cell r="B126" t="str">
            <v>Муниципальный район "Куйбышевский район"</v>
          </cell>
          <cell r="I126" t="str">
            <v>Реконструкция</v>
          </cell>
          <cell r="J126" t="str">
            <v>ОСК</v>
          </cell>
          <cell r="L126">
            <v>1</v>
          </cell>
          <cell r="Q126" t="str">
            <v>2020-2025</v>
          </cell>
        </row>
        <row r="127">
          <cell r="B127" t="str">
            <v>Муниципальный район "Думиничский район"</v>
          </cell>
          <cell r="I127" t="str">
            <v>Реконструкция</v>
          </cell>
          <cell r="J127" t="str">
            <v>ОСК</v>
          </cell>
          <cell r="L127">
            <v>1</v>
          </cell>
          <cell r="Q127" t="str">
            <v>2026-2030</v>
          </cell>
        </row>
        <row r="128">
          <cell r="B128" t="str">
            <v>Муниципальный район "Думиничский район"</v>
          </cell>
          <cell r="I128" t="str">
            <v>Реконструкция</v>
          </cell>
          <cell r="J128" t="str">
            <v>ОСК</v>
          </cell>
          <cell r="L128">
            <v>1</v>
          </cell>
          <cell r="Q128" t="str">
            <v>2026-2030</v>
          </cell>
        </row>
        <row r="129">
          <cell r="B129" t="str">
            <v>Муниципальный район "Жиздринский район"</v>
          </cell>
          <cell r="I129" t="str">
            <v>Реконструкция</v>
          </cell>
          <cell r="J129" t="str">
            <v>ОСК</v>
          </cell>
          <cell r="L129">
            <v>1</v>
          </cell>
          <cell r="Q129" t="str">
            <v>2026-2030</v>
          </cell>
        </row>
        <row r="130">
          <cell r="B130" t="str">
            <v>Муниципальный район "Город Людиново и Людиновский район"</v>
          </cell>
          <cell r="I130" t="str">
            <v>Реконструкция</v>
          </cell>
          <cell r="J130" t="str">
            <v>ОСК</v>
          </cell>
          <cell r="L130">
            <v>1</v>
          </cell>
          <cell r="Q130" t="str">
            <v>2020-2025</v>
          </cell>
        </row>
        <row r="131">
          <cell r="B131" t="str">
            <v>Людиновский филиал</v>
          </cell>
          <cell r="I131">
            <v>0</v>
          </cell>
          <cell r="J131" t="str">
            <v>сооружения канализации</v>
          </cell>
          <cell r="L131">
            <v>10</v>
          </cell>
          <cell r="Q131" t="str">
            <v/>
          </cell>
        </row>
        <row r="132">
          <cell r="B132">
            <v>0</v>
          </cell>
          <cell r="I132" t="str">
            <v>Капитальный ремонт</v>
          </cell>
          <cell r="J132" t="str">
            <v>КНС</v>
          </cell>
          <cell r="L132">
            <v>1</v>
          </cell>
          <cell r="Q132" t="str">
            <v>2020-2025</v>
          </cell>
        </row>
        <row r="133">
          <cell r="B133" t="str">
            <v>Муниципальный район "Город Людиново и Людиновский район"</v>
          </cell>
          <cell r="I133" t="str">
            <v>Реконструкция</v>
          </cell>
          <cell r="J133" t="str">
            <v>КНС</v>
          </cell>
          <cell r="L133">
            <v>1</v>
          </cell>
          <cell r="Q133" t="str">
            <v>2020-2025</v>
          </cell>
        </row>
        <row r="134">
          <cell r="B134" t="str">
            <v>Муниципальный район "Город Людиново и Людиновский район"</v>
          </cell>
          <cell r="I134" t="str">
            <v>Реконструкция</v>
          </cell>
          <cell r="J134" t="str">
            <v>КНС</v>
          </cell>
          <cell r="L134">
            <v>1</v>
          </cell>
          <cell r="Q134" t="str">
            <v>2020-2025</v>
          </cell>
        </row>
        <row r="135">
          <cell r="B135" t="str">
            <v>Муниципальный район "Город Людиново и Людиновский район"</v>
          </cell>
          <cell r="I135" t="str">
            <v>Реконструкция</v>
          </cell>
          <cell r="J135" t="str">
            <v>КНС</v>
          </cell>
          <cell r="L135">
            <v>1</v>
          </cell>
          <cell r="Q135" t="str">
            <v>2020-2025</v>
          </cell>
        </row>
        <row r="136">
          <cell r="B136" t="str">
            <v>Муниципальный район "Город Людиново и Людиновский район"</v>
          </cell>
          <cell r="I136" t="str">
            <v>Реконструкция</v>
          </cell>
          <cell r="J136" t="str">
            <v>КНС</v>
          </cell>
          <cell r="L136">
            <v>1</v>
          </cell>
          <cell r="Q136" t="str">
            <v>2026-2030</v>
          </cell>
        </row>
        <row r="137">
          <cell r="B137" t="str">
            <v>Муниципальный район "Город Людиново и Людиновский район"</v>
          </cell>
          <cell r="I137" t="str">
            <v>Реконструкция</v>
          </cell>
          <cell r="J137" t="str">
            <v>КНС</v>
          </cell>
          <cell r="L137">
            <v>1</v>
          </cell>
          <cell r="Q137" t="str">
            <v>2026-2030</v>
          </cell>
        </row>
        <row r="138">
          <cell r="B138" t="str">
            <v>Муниципальный район "Город Людиново и Людиновский район"</v>
          </cell>
          <cell r="I138" t="str">
            <v>Реконструкция</v>
          </cell>
          <cell r="J138" t="str">
            <v>КНС</v>
          </cell>
          <cell r="L138">
            <v>1</v>
          </cell>
          <cell r="Q138" t="str">
            <v>2026-2030</v>
          </cell>
        </row>
        <row r="139">
          <cell r="B139" t="str">
            <v>Муниципальный район "Город Людиново и Людиновский район"</v>
          </cell>
          <cell r="I139" t="str">
            <v>Реконструкция</v>
          </cell>
          <cell r="J139" t="str">
            <v>КНС</v>
          </cell>
          <cell r="L139">
            <v>1</v>
          </cell>
          <cell r="Q139" t="str">
            <v>2026-2030</v>
          </cell>
        </row>
        <row r="140">
          <cell r="B140" t="str">
            <v>Муниципальный район "Город Людиново и Людиновский район"</v>
          </cell>
          <cell r="I140" t="str">
            <v>Реконструкция</v>
          </cell>
          <cell r="J140" t="str">
            <v>КНС</v>
          </cell>
          <cell r="L140">
            <v>1</v>
          </cell>
          <cell r="Q140" t="str">
            <v>2026-2030</v>
          </cell>
        </row>
        <row r="141">
          <cell r="B141" t="str">
            <v>Муниципальный район "Жиздринский район"</v>
          </cell>
          <cell r="I141" t="str">
            <v>Реконструкция</v>
          </cell>
          <cell r="J141" t="str">
            <v>КНС</v>
          </cell>
          <cell r="L141">
            <v>1</v>
          </cell>
          <cell r="Q141" t="str">
            <v>2020-2025</v>
          </cell>
        </row>
        <row r="142">
          <cell r="B142" t="str">
            <v>Людиновский филиал</v>
          </cell>
          <cell r="I142">
            <v>0</v>
          </cell>
          <cell r="J142" t="str">
            <v>прочее</v>
          </cell>
          <cell r="L142">
            <v>15</v>
          </cell>
          <cell r="Q142" t="str">
            <v/>
          </cell>
        </row>
        <row r="143">
          <cell r="B143" t="str">
            <v>Муниципальный район "Город Киров и Кировский район"</v>
          </cell>
          <cell r="I143" t="str">
            <v>ПИР и ПСД</v>
          </cell>
          <cell r="J143" t="str">
            <v>прочее</v>
          </cell>
          <cell r="L143">
            <v>1</v>
          </cell>
          <cell r="Q143" t="str">
            <v>2020-2025</v>
          </cell>
        </row>
        <row r="144">
          <cell r="B144" t="str">
            <v>Муниципальный район "Город Людиново и Людиновский район"</v>
          </cell>
          <cell r="I144" t="str">
            <v>ПИР и ПСД</v>
          </cell>
          <cell r="J144" t="str">
            <v>прочее</v>
          </cell>
          <cell r="L144">
            <v>1</v>
          </cell>
          <cell r="Q144" t="str">
            <v>2020-2025</v>
          </cell>
        </row>
        <row r="145">
          <cell r="B145" t="str">
            <v>Муниципальный район "Город Людиново и Людиновский район"</v>
          </cell>
          <cell r="I145" t="str">
            <v>ПИР и ПСД</v>
          </cell>
          <cell r="J145" t="str">
            <v>прочее</v>
          </cell>
          <cell r="L145">
            <v>1</v>
          </cell>
          <cell r="Q145" t="str">
            <v>2020-2025</v>
          </cell>
        </row>
        <row r="146">
          <cell r="B146" t="str">
            <v>Муниципальный район "Город Людиново и Людиновский район"</v>
          </cell>
          <cell r="I146" t="str">
            <v>ПИР и ПСД</v>
          </cell>
          <cell r="J146" t="str">
            <v>прочее</v>
          </cell>
          <cell r="L146">
            <v>1</v>
          </cell>
          <cell r="Q146" t="str">
            <v>2020-2025</v>
          </cell>
        </row>
        <row r="147">
          <cell r="B147" t="str">
            <v>Муниципальный район "Город Людиново и Людиновский район"</v>
          </cell>
          <cell r="I147" t="str">
            <v>ПИР и ПСД</v>
          </cell>
          <cell r="J147" t="str">
            <v>прочее</v>
          </cell>
          <cell r="L147">
            <v>1</v>
          </cell>
          <cell r="Q147" t="str">
            <v>2020-2025</v>
          </cell>
        </row>
        <row r="148">
          <cell r="B148" t="str">
            <v>Муниципальный район "Город Людиново и Людиновский район"</v>
          </cell>
          <cell r="I148" t="str">
            <v>ПИР и ПСД</v>
          </cell>
          <cell r="J148" t="str">
            <v>прочее</v>
          </cell>
          <cell r="L148">
            <v>1</v>
          </cell>
          <cell r="Q148" t="str">
            <v>2020-2025</v>
          </cell>
        </row>
        <row r="149">
          <cell r="B149" t="str">
            <v>Муниципальный район "Город Людиново и Людиновский район"</v>
          </cell>
          <cell r="I149" t="str">
            <v>ПИР и ПСД</v>
          </cell>
          <cell r="J149" t="str">
            <v>прочее</v>
          </cell>
          <cell r="L149">
            <v>1</v>
          </cell>
          <cell r="Q149" t="str">
            <v>2020-2025</v>
          </cell>
        </row>
        <row r="150">
          <cell r="B150" t="str">
            <v>Муниципальный район "Город Людиново и Людиновский район"</v>
          </cell>
          <cell r="I150" t="str">
            <v>ПИР и ПСД</v>
          </cell>
          <cell r="J150" t="str">
            <v>прочее</v>
          </cell>
          <cell r="L150">
            <v>1</v>
          </cell>
          <cell r="Q150" t="str">
            <v>2020-2025</v>
          </cell>
        </row>
        <row r="151">
          <cell r="B151" t="str">
            <v>Муниципальный район "Город Людиново и Людиновский район"</v>
          </cell>
          <cell r="I151" t="str">
            <v>ПИР и ПСД</v>
          </cell>
          <cell r="J151" t="str">
            <v>прочее</v>
          </cell>
          <cell r="L151">
            <v>1</v>
          </cell>
          <cell r="Q151" t="str">
            <v>2020-2025</v>
          </cell>
        </row>
        <row r="152">
          <cell r="B152" t="str">
            <v>Муниципальный район "Жиздринский район"</v>
          </cell>
          <cell r="I152" t="str">
            <v>ПИР и ПСД</v>
          </cell>
          <cell r="J152" t="str">
            <v>прочее</v>
          </cell>
          <cell r="L152">
            <v>1</v>
          </cell>
          <cell r="Q152" t="str">
            <v>2020-2025</v>
          </cell>
        </row>
        <row r="153">
          <cell r="B153" t="str">
            <v>Муниципальный район "Куйбышевский район"</v>
          </cell>
          <cell r="I153" t="str">
            <v>ПИР и ПСД</v>
          </cell>
          <cell r="J153" t="str">
            <v>прочее</v>
          </cell>
          <cell r="L153">
            <v>1</v>
          </cell>
          <cell r="Q153" t="str">
            <v>2020-2025</v>
          </cell>
        </row>
        <row r="154">
          <cell r="B154" t="str">
            <v>Муниципальный район "Думиничский район"</v>
          </cell>
          <cell r="I154" t="str">
            <v>ПИР и ПСД</v>
          </cell>
          <cell r="J154" t="str">
            <v>прочее</v>
          </cell>
          <cell r="L154">
            <v>1</v>
          </cell>
          <cell r="Q154" t="str">
            <v>2020-2025</v>
          </cell>
        </row>
        <row r="155">
          <cell r="B155" t="str">
            <v>Муниципальный район "Думиничский район"</v>
          </cell>
          <cell r="I155" t="str">
            <v>ПИР и ПСД</v>
          </cell>
          <cell r="J155" t="str">
            <v>прочее</v>
          </cell>
          <cell r="L155">
            <v>1</v>
          </cell>
          <cell r="Q155" t="str">
            <v>2020-2025</v>
          </cell>
        </row>
        <row r="156">
          <cell r="B156" t="str">
            <v>Муниципальный район "Жиздринский район"</v>
          </cell>
          <cell r="I156" t="str">
            <v>ПИР и ПСД</v>
          </cell>
          <cell r="J156" t="str">
            <v>прочее</v>
          </cell>
          <cell r="L156">
            <v>1</v>
          </cell>
          <cell r="Q156" t="str">
            <v>2020-2025</v>
          </cell>
        </row>
        <row r="157">
          <cell r="B157" t="str">
            <v>Муниципальный район "Город Людиново и Людиновский район"</v>
          </cell>
          <cell r="I157" t="str">
            <v>ПИР и ПСД</v>
          </cell>
          <cell r="J157" t="str">
            <v>прочее</v>
          </cell>
          <cell r="L157">
            <v>1</v>
          </cell>
          <cell r="Q157" t="str">
            <v>2020-2025</v>
          </cell>
        </row>
        <row r="158">
          <cell r="B158" t="str">
            <v>Людиновский филиал</v>
          </cell>
          <cell r="I158">
            <v>0</v>
          </cell>
          <cell r="J158" t="str">
            <v>прочее</v>
          </cell>
          <cell r="L158">
            <v>4</v>
          </cell>
          <cell r="Q158" t="str">
            <v/>
          </cell>
        </row>
        <row r="159">
          <cell r="B159" t="str">
            <v>Муниципальный район "Город Киров и Кировский район"</v>
          </cell>
          <cell r="I159" t="str">
            <v>Новое строительство</v>
          </cell>
          <cell r="J159" t="str">
            <v>прочее</v>
          </cell>
          <cell r="L159">
            <v>1</v>
          </cell>
          <cell r="Q159" t="str">
            <v>2026-2030</v>
          </cell>
        </row>
        <row r="160">
          <cell r="B160" t="str">
            <v>Муниципальный район "Город Людиново и Людиновский район"</v>
          </cell>
          <cell r="I160" t="str">
            <v>Новое строительство</v>
          </cell>
          <cell r="J160" t="str">
            <v>прочее</v>
          </cell>
          <cell r="L160">
            <v>1</v>
          </cell>
          <cell r="Q160" t="str">
            <v>2026-2030</v>
          </cell>
        </row>
        <row r="161">
          <cell r="B161" t="str">
            <v>Муниципальный район "Город Людиново и Людиновский район"</v>
          </cell>
          <cell r="I161" t="str">
            <v>Новое строительство</v>
          </cell>
          <cell r="J161" t="str">
            <v>прочее</v>
          </cell>
          <cell r="L161">
            <v>1</v>
          </cell>
          <cell r="Q161" t="str">
            <v>2026-2030</v>
          </cell>
        </row>
        <row r="162">
          <cell r="B162" t="str">
            <v>Муниципальный район "Город Людиново и Людиновский район"</v>
          </cell>
          <cell r="I162" t="str">
            <v>Новое строительство</v>
          </cell>
          <cell r="J162" t="str">
            <v>прочее</v>
          </cell>
          <cell r="L162">
            <v>1</v>
          </cell>
          <cell r="Q162" t="str">
            <v>2026-2030</v>
          </cell>
        </row>
        <row r="163">
          <cell r="B163" t="str">
            <v>Людиновский филиал</v>
          </cell>
          <cell r="I163">
            <v>0</v>
          </cell>
          <cell r="J163" t="str">
            <v>канализационная сеть</v>
          </cell>
          <cell r="L163">
            <v>2</v>
          </cell>
          <cell r="Q163" t="str">
            <v/>
          </cell>
        </row>
        <row r="164">
          <cell r="B164" t="str">
            <v>Муниципальный район "Хвастовичский район"</v>
          </cell>
          <cell r="I164" t="str">
            <v>Новое строительство</v>
          </cell>
          <cell r="J164" t="str">
            <v>ОСК</v>
          </cell>
          <cell r="L164">
            <v>1</v>
          </cell>
          <cell r="Q164" t="str">
            <v>2026-2030</v>
          </cell>
        </row>
        <row r="165">
          <cell r="B165" t="str">
            <v>Муниципальный район "Думиничский район"</v>
          </cell>
          <cell r="I165" t="str">
            <v>Новое строительство</v>
          </cell>
          <cell r="J165" t="str">
            <v>ОСК</v>
          </cell>
          <cell r="L165">
            <v>1</v>
          </cell>
          <cell r="Q165" t="str">
            <v>2026-2030</v>
          </cell>
        </row>
        <row r="166">
          <cell r="B166" t="str">
            <v>Людиновский филиал</v>
          </cell>
          <cell r="I166">
            <v>0</v>
          </cell>
          <cell r="J166" t="str">
            <v>канализационная сеть</v>
          </cell>
          <cell r="L166">
            <v>28.584740576562496</v>
          </cell>
          <cell r="Q166" t="str">
            <v/>
          </cell>
        </row>
        <row r="167">
          <cell r="B167" t="str">
            <v>Муниципальный район "Думиничский район"</v>
          </cell>
          <cell r="I167" t="str">
            <v>Реконструкция</v>
          </cell>
          <cell r="J167" t="str">
            <v>самотечная канализационная сеть</v>
          </cell>
          <cell r="L167">
            <v>0.21479444444444434</v>
          </cell>
          <cell r="Q167" t="str">
            <v>2020-2058</v>
          </cell>
        </row>
        <row r="168">
          <cell r="B168" t="str">
            <v>Муниципальный район "Думиничский район"</v>
          </cell>
          <cell r="I168" t="str">
            <v>Реконструкция</v>
          </cell>
          <cell r="J168" t="str">
            <v>самотечная канализационная сеть</v>
          </cell>
          <cell r="L168">
            <v>0.42958888888888869</v>
          </cell>
          <cell r="Q168" t="str">
            <v>2020-2058</v>
          </cell>
        </row>
        <row r="169">
          <cell r="B169" t="str">
            <v>Муниципальный район "Думиничский район"</v>
          </cell>
          <cell r="I169" t="str">
            <v>Реконструкция</v>
          </cell>
          <cell r="J169" t="str">
            <v>самотечная канализационная сеть</v>
          </cell>
          <cell r="L169">
            <v>0.75178055555555545</v>
          </cell>
          <cell r="Q169" t="str">
            <v>2020-2058</v>
          </cell>
        </row>
        <row r="170">
          <cell r="B170" t="str">
            <v>Муниципальный район "Думиничский район"</v>
          </cell>
          <cell r="I170" t="str">
            <v>Реконструкция</v>
          </cell>
          <cell r="J170" t="str">
            <v>самотечная канализационная сеть</v>
          </cell>
          <cell r="L170">
            <v>0.53698611111111116</v>
          </cell>
          <cell r="Q170" t="str">
            <v>2020-2058</v>
          </cell>
        </row>
        <row r="171">
          <cell r="B171" t="str">
            <v>Муниципальный район "Жиздринский район"</v>
          </cell>
          <cell r="I171" t="str">
            <v>Реконструкция</v>
          </cell>
          <cell r="J171" t="str">
            <v>самотечная канализационная сеть</v>
          </cell>
          <cell r="L171">
            <v>0.14000000000000001</v>
          </cell>
          <cell r="Q171" t="str">
            <v>2020-2058</v>
          </cell>
        </row>
        <row r="172">
          <cell r="B172" t="str">
            <v>Муниципальный район "Город Киров и Кировский район"</v>
          </cell>
          <cell r="I172" t="str">
            <v>Реконструкция</v>
          </cell>
          <cell r="J172" t="str">
            <v>самотечная канализационная сеть</v>
          </cell>
          <cell r="L172">
            <v>0.4221940576562499</v>
          </cell>
          <cell r="Q172" t="str">
            <v>2020-2058</v>
          </cell>
        </row>
        <row r="173">
          <cell r="B173" t="str">
            <v>Муниципальный район "Город Киров и Кировский район"</v>
          </cell>
          <cell r="I173" t="str">
            <v>Реконструкция</v>
          </cell>
          <cell r="J173" t="str">
            <v>самотечная канализационная сеть</v>
          </cell>
          <cell r="L173">
            <v>0.8443881153124998</v>
          </cell>
          <cell r="Q173" t="str">
            <v>2020-2058</v>
          </cell>
        </row>
        <row r="174">
          <cell r="B174" t="str">
            <v>Муниципальный район "Город Киров и Кировский район"</v>
          </cell>
          <cell r="I174" t="str">
            <v>Реконструкция</v>
          </cell>
          <cell r="J174" t="str">
            <v>самотечная канализационная сеть</v>
          </cell>
          <cell r="L174">
            <v>1.4776792017968752</v>
          </cell>
          <cell r="Q174" t="str">
            <v>2020-2058</v>
          </cell>
        </row>
        <row r="175">
          <cell r="B175" t="str">
            <v>Муниципальный район "Город Киров и Кировский район"</v>
          </cell>
          <cell r="I175" t="str">
            <v>Реконструкция</v>
          </cell>
          <cell r="J175" t="str">
            <v>самотечная канализационная сеть</v>
          </cell>
          <cell r="L175">
            <v>1.055485144140625</v>
          </cell>
          <cell r="Q175" t="str">
            <v>2020-2058</v>
          </cell>
        </row>
        <row r="176">
          <cell r="B176" t="str">
            <v>Муниципальный район "Город Киров и Кировский район"</v>
          </cell>
          <cell r="I176" t="str">
            <v>Реконструкция</v>
          </cell>
          <cell r="J176" t="str">
            <v>самотечная канализационная сеть</v>
          </cell>
          <cell r="L176">
            <v>0.4221940576562499</v>
          </cell>
          <cell r="Q176" t="str">
            <v>2020-2058</v>
          </cell>
        </row>
        <row r="177">
          <cell r="B177" t="str">
            <v>Муниципальный район "Куйбышевский район"</v>
          </cell>
          <cell r="I177" t="str">
            <v>Реконструкция</v>
          </cell>
          <cell r="J177" t="str">
            <v>самотечная канализационная сеть</v>
          </cell>
          <cell r="L177">
            <v>0.2832153846153847</v>
          </cell>
          <cell r="Q177" t="str">
            <v>2020-2058</v>
          </cell>
        </row>
        <row r="178">
          <cell r="B178" t="str">
            <v>Муниципальный район "Куйбышевский район"</v>
          </cell>
          <cell r="I178" t="str">
            <v>Реконструкция</v>
          </cell>
          <cell r="J178" t="str">
            <v>самотечная канализационная сеть</v>
          </cell>
          <cell r="L178">
            <v>0.5664307692307694</v>
          </cell>
          <cell r="Q178" t="str">
            <v>2020-2058</v>
          </cell>
        </row>
        <row r="179">
          <cell r="B179" t="str">
            <v>Муниципальный район "Куйбышевский район"</v>
          </cell>
          <cell r="I179" t="str">
            <v>Реконструкция</v>
          </cell>
          <cell r="J179" t="str">
            <v>самотечная канализационная сеть</v>
          </cell>
          <cell r="L179">
            <v>0.99125384615384671</v>
          </cell>
          <cell r="Q179" t="str">
            <v>2020-2058</v>
          </cell>
        </row>
        <row r="180">
          <cell r="B180" t="str">
            <v>Муниципальный район "Город Людиново и Людиновский район"</v>
          </cell>
          <cell r="I180" t="str">
            <v>Реконструкция</v>
          </cell>
          <cell r="J180" t="str">
            <v>самотечная канализационная сеть</v>
          </cell>
          <cell r="L180">
            <v>1.9823499999999985</v>
          </cell>
          <cell r="Q180" t="str">
            <v>2020-2058</v>
          </cell>
        </row>
        <row r="181">
          <cell r="B181" t="str">
            <v>Муниципальный район "Город Людиново и Людиновский район"</v>
          </cell>
          <cell r="I181" t="str">
            <v>Реконструкция</v>
          </cell>
          <cell r="J181" t="str">
            <v>самотечная канализационная сеть</v>
          </cell>
          <cell r="L181">
            <v>3.964699999999997</v>
          </cell>
          <cell r="Q181" t="str">
            <v>2020-2058</v>
          </cell>
        </row>
        <row r="182">
          <cell r="B182" t="str">
            <v>Муниципальный район "Город Людиново и Людиновский район"</v>
          </cell>
          <cell r="I182" t="str">
            <v>Реконструкция</v>
          </cell>
          <cell r="J182" t="str">
            <v>самотечная канализационная сеть</v>
          </cell>
          <cell r="L182">
            <v>6.9382250000000045</v>
          </cell>
          <cell r="Q182" t="str">
            <v>2020-2058</v>
          </cell>
        </row>
        <row r="183">
          <cell r="B183" t="str">
            <v>Муниципальный район "Город Людиново и Людиновский район"</v>
          </cell>
          <cell r="I183" t="str">
            <v>Реконструкция</v>
          </cell>
          <cell r="J183" t="str">
            <v>самотечная канализационная сеть</v>
          </cell>
          <cell r="L183">
            <v>4.9558749999999998</v>
          </cell>
          <cell r="Q183" t="str">
            <v>2020-2058</v>
          </cell>
        </row>
        <row r="184">
          <cell r="B184" t="str">
            <v>Муниципальный район "Город Людиново и Людиновский район"</v>
          </cell>
          <cell r="I184" t="str">
            <v>Реконструкция</v>
          </cell>
          <cell r="J184" t="str">
            <v>самотечная канализационная сеть</v>
          </cell>
          <cell r="L184">
            <v>1.9823499999999985</v>
          </cell>
          <cell r="Q184" t="str">
            <v>2020-2058</v>
          </cell>
        </row>
        <row r="185">
          <cell r="B185" t="str">
            <v>Муниципальный район "Хвастовичский район"</v>
          </cell>
          <cell r="I185" t="str">
            <v>Реконструкция</v>
          </cell>
          <cell r="J185" t="str">
            <v>самотечная канализационная сеть</v>
          </cell>
          <cell r="L185">
            <v>0.20841666666666678</v>
          </cell>
          <cell r="Q185" t="str">
            <v>2020-2058</v>
          </cell>
        </row>
        <row r="186">
          <cell r="B186" t="str">
            <v>Муниципальный район "Хвастовичский район"</v>
          </cell>
          <cell r="I186" t="str">
            <v>Реконструкция</v>
          </cell>
          <cell r="J186" t="str">
            <v>самотечная канализационная сеть</v>
          </cell>
          <cell r="L186">
            <v>0.41683333333333356</v>
          </cell>
          <cell r="Q186" t="str">
            <v>2020-2058</v>
          </cell>
        </row>
        <row r="187">
          <cell r="B187" t="str">
            <v>Дзержинский филиал</v>
          </cell>
          <cell r="I187">
            <v>0</v>
          </cell>
          <cell r="J187">
            <v>0</v>
          </cell>
          <cell r="L187">
            <v>0</v>
          </cell>
          <cell r="Q187" t="str">
            <v/>
          </cell>
        </row>
        <row r="188">
          <cell r="B188" t="str">
            <v>Дзержинский филиал</v>
          </cell>
          <cell r="I188">
            <v>0</v>
          </cell>
          <cell r="J188" t="str">
            <v>сооружения канализации</v>
          </cell>
          <cell r="L188">
            <v>9</v>
          </cell>
          <cell r="Q188" t="str">
            <v/>
          </cell>
        </row>
        <row r="189">
          <cell r="B189" t="str">
            <v>Муниципальный район "Дзержинский район"</v>
          </cell>
          <cell r="I189" t="str">
            <v>Реконструкция</v>
          </cell>
          <cell r="J189" t="str">
            <v>ОСК</v>
          </cell>
          <cell r="L189">
            <v>1</v>
          </cell>
          <cell r="Q189" t="str">
            <v>2026-2030</v>
          </cell>
        </row>
        <row r="190">
          <cell r="B190" t="str">
            <v>Муниципальный район "Дзержинский район"</v>
          </cell>
          <cell r="I190" t="str">
            <v>Реконструкция</v>
          </cell>
          <cell r="J190" t="str">
            <v>ОСК</v>
          </cell>
          <cell r="L190">
            <v>1</v>
          </cell>
          <cell r="Q190" t="str">
            <v>2020-2025</v>
          </cell>
        </row>
        <row r="191">
          <cell r="B191" t="str">
            <v>Муниципальный район "Медынский район"</v>
          </cell>
          <cell r="I191" t="str">
            <v>Реконструкция</v>
          </cell>
          <cell r="J191" t="str">
            <v>ОСК</v>
          </cell>
          <cell r="L191">
            <v>1</v>
          </cell>
          <cell r="Q191" t="str">
            <v>2020-2025</v>
          </cell>
        </row>
        <row r="192">
          <cell r="B192" t="str">
            <v>Муниципальный район "Медынский район"</v>
          </cell>
          <cell r="I192" t="str">
            <v>Реконструкция</v>
          </cell>
          <cell r="J192" t="str">
            <v>ОСК</v>
          </cell>
          <cell r="L192">
            <v>1</v>
          </cell>
          <cell r="Q192" t="str">
            <v>2026-2030</v>
          </cell>
        </row>
        <row r="193">
          <cell r="B193" t="str">
            <v>Муниципальный район "Дзержинский район"</v>
          </cell>
          <cell r="I193" t="str">
            <v>Реконструкция</v>
          </cell>
          <cell r="J193" t="str">
            <v>ОСК</v>
          </cell>
          <cell r="L193">
            <v>1</v>
          </cell>
          <cell r="Q193" t="str">
            <v>2026-2030</v>
          </cell>
        </row>
        <row r="194">
          <cell r="B194" t="str">
            <v>Муниципальный район "Медынский район"</v>
          </cell>
          <cell r="I194" t="str">
            <v>Реконструкция</v>
          </cell>
          <cell r="J194" t="str">
            <v>ОСК</v>
          </cell>
          <cell r="L194">
            <v>1</v>
          </cell>
          <cell r="Q194" t="str">
            <v>2020-2025</v>
          </cell>
        </row>
        <row r="195">
          <cell r="B195" t="str">
            <v>Муниципальный район "Дзержинский район"</v>
          </cell>
          <cell r="I195" t="str">
            <v>Реконструкция</v>
          </cell>
          <cell r="J195" t="str">
            <v>ОСК</v>
          </cell>
          <cell r="L195">
            <v>1</v>
          </cell>
          <cell r="Q195" t="str">
            <v>2020-2025</v>
          </cell>
        </row>
        <row r="196">
          <cell r="B196" t="str">
            <v>Муниципальный район "Дзержинский район"</v>
          </cell>
          <cell r="I196" t="str">
            <v>Реконструкция</v>
          </cell>
          <cell r="J196" t="str">
            <v>ОСК</v>
          </cell>
          <cell r="L196">
            <v>1</v>
          </cell>
          <cell r="Q196" t="str">
            <v>2020-2025</v>
          </cell>
        </row>
        <row r="197">
          <cell r="B197" t="str">
            <v>Муниципальный район "Дзержинский район"</v>
          </cell>
          <cell r="I197" t="str">
            <v>Реконструкция</v>
          </cell>
          <cell r="J197" t="str">
            <v>ОСК</v>
          </cell>
          <cell r="L197">
            <v>1</v>
          </cell>
          <cell r="Q197" t="str">
            <v>2020-2025</v>
          </cell>
        </row>
        <row r="198">
          <cell r="B198" t="str">
            <v>Дзержинский филиал</v>
          </cell>
          <cell r="I198">
            <v>0</v>
          </cell>
          <cell r="J198" t="str">
            <v>сооружения канализации</v>
          </cell>
          <cell r="L198">
            <v>17</v>
          </cell>
          <cell r="Q198" t="str">
            <v/>
          </cell>
        </row>
        <row r="199">
          <cell r="B199" t="str">
            <v>Муниципальный район "Дзержинский район"</v>
          </cell>
          <cell r="I199" t="str">
            <v>Капитальный ремонт</v>
          </cell>
          <cell r="J199" t="str">
            <v>КНС</v>
          </cell>
          <cell r="L199">
            <v>1</v>
          </cell>
          <cell r="Q199" t="str">
            <v>2020-2025</v>
          </cell>
        </row>
        <row r="200">
          <cell r="B200" t="str">
            <v>Муниципальный район "Дзержинский район"</v>
          </cell>
          <cell r="I200" t="str">
            <v>Капитальный ремонт</v>
          </cell>
          <cell r="J200" t="str">
            <v>КНС</v>
          </cell>
          <cell r="L200">
            <v>1</v>
          </cell>
          <cell r="Q200" t="str">
            <v>2020-2025</v>
          </cell>
        </row>
        <row r="201">
          <cell r="B201" t="str">
            <v>Муниципальный район "Дзержинский район"</v>
          </cell>
          <cell r="I201" t="str">
            <v>Капитальный ремонт</v>
          </cell>
          <cell r="J201" t="str">
            <v>КНС</v>
          </cell>
          <cell r="L201">
            <v>1</v>
          </cell>
          <cell r="Q201" t="str">
            <v>2020-2025</v>
          </cell>
        </row>
        <row r="202">
          <cell r="B202" t="str">
            <v>Муниципальный район "Дзержинский район"</v>
          </cell>
          <cell r="I202" t="str">
            <v>Капитальный ремонт</v>
          </cell>
          <cell r="J202" t="str">
            <v>КНС</v>
          </cell>
          <cell r="L202">
            <v>1</v>
          </cell>
          <cell r="Q202" t="str">
            <v>2026-2030</v>
          </cell>
        </row>
        <row r="203">
          <cell r="B203" t="str">
            <v>Муниципальный район "Дзержинский район"</v>
          </cell>
          <cell r="I203" t="str">
            <v>Капитальный ремонт</v>
          </cell>
          <cell r="J203" t="str">
            <v>КНС</v>
          </cell>
          <cell r="L203">
            <v>1</v>
          </cell>
          <cell r="Q203" t="str">
            <v>2026-2030</v>
          </cell>
        </row>
        <row r="204">
          <cell r="B204" t="str">
            <v>Муниципальный район "Медынский район"</v>
          </cell>
          <cell r="I204" t="str">
            <v>Капитальный ремонт</v>
          </cell>
          <cell r="J204" t="str">
            <v>КНС</v>
          </cell>
          <cell r="L204">
            <v>1</v>
          </cell>
          <cell r="Q204" t="str">
            <v>2026-2030</v>
          </cell>
        </row>
        <row r="205">
          <cell r="B205" t="str">
            <v>Муниципальный район "Медынский район"</v>
          </cell>
          <cell r="I205" t="str">
            <v>Капитальный ремонт</v>
          </cell>
          <cell r="J205" t="str">
            <v>КНС</v>
          </cell>
          <cell r="L205">
            <v>1</v>
          </cell>
          <cell r="Q205" t="str">
            <v>2020-2025</v>
          </cell>
        </row>
        <row r="206">
          <cell r="B206" t="str">
            <v>Муниципальный район "Дзержинский район"</v>
          </cell>
          <cell r="I206" t="str">
            <v>Реконструкция</v>
          </cell>
          <cell r="J206" t="str">
            <v>КНС</v>
          </cell>
          <cell r="L206">
            <v>1</v>
          </cell>
          <cell r="Q206" t="str">
            <v>2026-2030</v>
          </cell>
        </row>
        <row r="207">
          <cell r="B207" t="str">
            <v>Муниципальный район "Дзержинский район"</v>
          </cell>
          <cell r="I207" t="str">
            <v>Реконструкция</v>
          </cell>
          <cell r="J207" t="str">
            <v>КНС</v>
          </cell>
          <cell r="L207">
            <v>1</v>
          </cell>
          <cell r="Q207" t="str">
            <v>2026-2030</v>
          </cell>
        </row>
        <row r="208">
          <cell r="B208" t="str">
            <v>Муниципальный район "Дзержинский район"</v>
          </cell>
          <cell r="I208" t="str">
            <v>Реконструкция</v>
          </cell>
          <cell r="J208" t="str">
            <v>КНС</v>
          </cell>
          <cell r="L208">
            <v>1</v>
          </cell>
          <cell r="Q208" t="str">
            <v>2026-2030</v>
          </cell>
        </row>
        <row r="209">
          <cell r="B209" t="str">
            <v>Муниципальный район "Дзержинский район"</v>
          </cell>
          <cell r="I209" t="str">
            <v>Реконструкция</v>
          </cell>
          <cell r="J209" t="str">
            <v>КНС</v>
          </cell>
          <cell r="L209">
            <v>1</v>
          </cell>
          <cell r="Q209" t="str">
            <v>2020-2025</v>
          </cell>
        </row>
        <row r="210">
          <cell r="B210" t="str">
            <v>Муниципальный район "Дзержинский район"</v>
          </cell>
          <cell r="I210" t="str">
            <v>Реконструкция</v>
          </cell>
          <cell r="J210" t="str">
            <v>КНС</v>
          </cell>
          <cell r="L210">
            <v>1</v>
          </cell>
          <cell r="Q210" t="str">
            <v>2026-2030</v>
          </cell>
        </row>
        <row r="211">
          <cell r="B211" t="str">
            <v>Муниципальный район "Дзержинский район"</v>
          </cell>
          <cell r="I211" t="str">
            <v>Реконструкция</v>
          </cell>
          <cell r="J211" t="str">
            <v>КНС</v>
          </cell>
          <cell r="L211">
            <v>1</v>
          </cell>
          <cell r="Q211" t="str">
            <v>2026-2030</v>
          </cell>
        </row>
        <row r="212">
          <cell r="B212" t="str">
            <v>Муниципальный район "Дзержинский район"</v>
          </cell>
          <cell r="I212" t="str">
            <v>Реконструкция</v>
          </cell>
          <cell r="J212" t="str">
            <v>КНС</v>
          </cell>
          <cell r="L212">
            <v>1</v>
          </cell>
          <cell r="Q212" t="str">
            <v>2026-2030</v>
          </cell>
        </row>
        <row r="213">
          <cell r="B213" t="str">
            <v>Муниципальный район "Дзержинский район"</v>
          </cell>
          <cell r="I213" t="str">
            <v>Реконструкция</v>
          </cell>
          <cell r="J213" t="str">
            <v>КНС</v>
          </cell>
          <cell r="L213">
            <v>1</v>
          </cell>
          <cell r="Q213" t="str">
            <v>2020-2025</v>
          </cell>
        </row>
        <row r="214">
          <cell r="B214" t="str">
            <v>Муниципальный район "Медынский район"</v>
          </cell>
          <cell r="I214" t="str">
            <v>Реконструкция</v>
          </cell>
          <cell r="J214" t="str">
            <v>КНС</v>
          </cell>
          <cell r="L214">
            <v>1</v>
          </cell>
          <cell r="Q214" t="str">
            <v>2020-2025</v>
          </cell>
        </row>
        <row r="215">
          <cell r="B215" t="str">
            <v>Муниципальный район "Медынский район"</v>
          </cell>
          <cell r="I215" t="str">
            <v>Реконструкция</v>
          </cell>
          <cell r="J215" t="str">
            <v>КНС</v>
          </cell>
          <cell r="L215">
            <v>1</v>
          </cell>
          <cell r="Q215" t="str">
            <v>2020-2025</v>
          </cell>
        </row>
        <row r="216">
          <cell r="B216" t="str">
            <v>Дзержинский филиал</v>
          </cell>
          <cell r="I216">
            <v>0</v>
          </cell>
          <cell r="J216" t="str">
            <v>прочее</v>
          </cell>
          <cell r="L216">
            <v>23</v>
          </cell>
          <cell r="Q216" t="str">
            <v/>
          </cell>
        </row>
        <row r="217">
          <cell r="B217" t="str">
            <v>Муниципальный район "Дзержинский район"</v>
          </cell>
          <cell r="I217" t="str">
            <v>ПИР и ПСД</v>
          </cell>
          <cell r="J217" t="str">
            <v>прочее</v>
          </cell>
          <cell r="L217">
            <v>1</v>
          </cell>
          <cell r="Q217" t="str">
            <v>2020-2025</v>
          </cell>
        </row>
        <row r="218">
          <cell r="B218" t="str">
            <v>Муниципальный район "Дзержинский район"</v>
          </cell>
          <cell r="I218" t="str">
            <v>ПИР и ПСД</v>
          </cell>
          <cell r="J218" t="str">
            <v>прочее</v>
          </cell>
          <cell r="L218">
            <v>1</v>
          </cell>
          <cell r="Q218" t="str">
            <v>2020-2025</v>
          </cell>
        </row>
        <row r="219">
          <cell r="B219" t="str">
            <v>Муниципальный район "Дзержинский район"</v>
          </cell>
          <cell r="I219" t="str">
            <v>ПИР и ПСД</v>
          </cell>
          <cell r="J219" t="str">
            <v>прочее</v>
          </cell>
          <cell r="L219">
            <v>1</v>
          </cell>
          <cell r="Q219" t="str">
            <v>2020-2025</v>
          </cell>
        </row>
        <row r="220">
          <cell r="B220" t="str">
            <v>Муниципальный район "Дзержинский район"</v>
          </cell>
          <cell r="I220" t="str">
            <v>ПИР и ПСД</v>
          </cell>
          <cell r="J220" t="str">
            <v>прочее</v>
          </cell>
          <cell r="L220">
            <v>1</v>
          </cell>
          <cell r="Q220" t="str">
            <v>2020-2025</v>
          </cell>
        </row>
        <row r="221">
          <cell r="B221" t="str">
            <v>Муниципальный район "Дзержинский район"</v>
          </cell>
          <cell r="I221" t="str">
            <v>ПИР и ПСД</v>
          </cell>
          <cell r="J221" t="str">
            <v>прочее</v>
          </cell>
          <cell r="L221">
            <v>1</v>
          </cell>
          <cell r="Q221" t="str">
            <v>2020-2025</v>
          </cell>
        </row>
        <row r="222">
          <cell r="B222" t="str">
            <v>Муниципальный район "Дзержинский район"</v>
          </cell>
          <cell r="I222" t="str">
            <v>ПИР и ПСД</v>
          </cell>
          <cell r="J222" t="str">
            <v>прочее</v>
          </cell>
          <cell r="L222">
            <v>1</v>
          </cell>
          <cell r="Q222" t="str">
            <v>2020-2025</v>
          </cell>
        </row>
        <row r="223">
          <cell r="B223" t="str">
            <v>Муниципальный район "Дзержинский район"</v>
          </cell>
          <cell r="I223" t="str">
            <v>ПИР и ПСД</v>
          </cell>
          <cell r="J223" t="str">
            <v>прочее</v>
          </cell>
          <cell r="L223">
            <v>1</v>
          </cell>
          <cell r="Q223" t="str">
            <v>2020-2025</v>
          </cell>
        </row>
        <row r="224">
          <cell r="B224" t="str">
            <v>Муниципальный район "Дзержинский район"</v>
          </cell>
          <cell r="I224" t="str">
            <v>ПИР и ПСД</v>
          </cell>
          <cell r="J224" t="str">
            <v>прочее</v>
          </cell>
          <cell r="L224">
            <v>1</v>
          </cell>
          <cell r="Q224" t="str">
            <v>2020-2025</v>
          </cell>
        </row>
        <row r="225">
          <cell r="B225" t="str">
            <v>Муниципальный район "Дзержинский район"</v>
          </cell>
          <cell r="I225" t="str">
            <v>ПИР и ПСД</v>
          </cell>
          <cell r="J225" t="str">
            <v>прочее</v>
          </cell>
          <cell r="L225">
            <v>1</v>
          </cell>
          <cell r="Q225" t="str">
            <v>2020-2025</v>
          </cell>
        </row>
        <row r="226">
          <cell r="B226" t="str">
            <v>Муниципальный район "Дзержинский район"</v>
          </cell>
          <cell r="I226" t="str">
            <v>ПИР и ПСД</v>
          </cell>
          <cell r="J226" t="str">
            <v>прочее</v>
          </cell>
          <cell r="L226">
            <v>1</v>
          </cell>
          <cell r="Q226" t="str">
            <v>2020-2025</v>
          </cell>
        </row>
        <row r="227">
          <cell r="B227" t="str">
            <v>Муниципальный район "Дзержинский район"</v>
          </cell>
          <cell r="I227" t="str">
            <v>ПИР и ПСД</v>
          </cell>
          <cell r="J227" t="str">
            <v>прочее</v>
          </cell>
          <cell r="L227">
            <v>1</v>
          </cell>
          <cell r="Q227" t="str">
            <v>2020-2025</v>
          </cell>
        </row>
        <row r="228">
          <cell r="B228" t="str">
            <v>Муниципальный район "Дзержинский район"</v>
          </cell>
          <cell r="I228" t="str">
            <v>ПИР и ПСД</v>
          </cell>
          <cell r="J228" t="str">
            <v>прочее</v>
          </cell>
          <cell r="L228">
            <v>1</v>
          </cell>
          <cell r="Q228" t="str">
            <v>2020-2025</v>
          </cell>
        </row>
        <row r="229">
          <cell r="B229" t="str">
            <v>Муниципальный район "Медынский район"</v>
          </cell>
          <cell r="I229" t="str">
            <v>ПИР и ПСД</v>
          </cell>
          <cell r="J229" t="str">
            <v>прочее</v>
          </cell>
          <cell r="L229">
            <v>1</v>
          </cell>
          <cell r="Q229" t="str">
            <v>2020-2025</v>
          </cell>
        </row>
        <row r="230">
          <cell r="B230" t="str">
            <v>Муниципальный район "Медынский район"</v>
          </cell>
          <cell r="I230" t="str">
            <v>ПИР и ПСД</v>
          </cell>
          <cell r="J230" t="str">
            <v>прочее</v>
          </cell>
          <cell r="L230">
            <v>1</v>
          </cell>
          <cell r="Q230" t="str">
            <v>2020-2025</v>
          </cell>
        </row>
        <row r="231">
          <cell r="B231" t="str">
            <v>Муниципальный район "Дзержинский район"</v>
          </cell>
          <cell r="I231" t="str">
            <v>ПИР и ПСД</v>
          </cell>
          <cell r="J231" t="str">
            <v>прочее</v>
          </cell>
          <cell r="L231">
            <v>1</v>
          </cell>
          <cell r="Q231" t="str">
            <v>2020-2025</v>
          </cell>
        </row>
        <row r="232">
          <cell r="B232" t="str">
            <v>Муниципальный район "Дзержинский район"</v>
          </cell>
          <cell r="I232" t="str">
            <v>ПИР и ПСД</v>
          </cell>
          <cell r="J232" t="str">
            <v>прочее</v>
          </cell>
          <cell r="L232">
            <v>1</v>
          </cell>
          <cell r="Q232" t="str">
            <v>2020-2025</v>
          </cell>
        </row>
        <row r="233">
          <cell r="B233" t="str">
            <v>Муниципальный район "Медынский район"</v>
          </cell>
          <cell r="I233" t="str">
            <v>ПИР и ПСД</v>
          </cell>
          <cell r="J233" t="str">
            <v>прочее</v>
          </cell>
          <cell r="L233">
            <v>1</v>
          </cell>
          <cell r="Q233" t="str">
            <v>2020-2025</v>
          </cell>
        </row>
        <row r="234">
          <cell r="B234" t="str">
            <v>Муниципальный район "Медынский район"</v>
          </cell>
          <cell r="I234" t="str">
            <v>ПИР и ПСД</v>
          </cell>
          <cell r="J234" t="str">
            <v>прочее</v>
          </cell>
          <cell r="L234">
            <v>1</v>
          </cell>
          <cell r="Q234" t="str">
            <v>2020-2025</v>
          </cell>
        </row>
        <row r="235">
          <cell r="B235" t="str">
            <v>Муниципальный район "Дзержинский район"</v>
          </cell>
          <cell r="I235" t="str">
            <v>ПИР и ПСД</v>
          </cell>
          <cell r="J235" t="str">
            <v>прочее</v>
          </cell>
          <cell r="L235">
            <v>1</v>
          </cell>
          <cell r="Q235" t="str">
            <v>2020-2025</v>
          </cell>
        </row>
        <row r="236">
          <cell r="B236" t="str">
            <v>Муниципальный район "Медынский район"</v>
          </cell>
          <cell r="I236" t="str">
            <v>ПИР и ПСД</v>
          </cell>
          <cell r="J236" t="str">
            <v>прочее</v>
          </cell>
          <cell r="L236">
            <v>1</v>
          </cell>
          <cell r="Q236" t="str">
            <v>2020-2025</v>
          </cell>
        </row>
        <row r="237">
          <cell r="B237" t="str">
            <v>Муниципальный район "Дзержинский район"</v>
          </cell>
          <cell r="I237" t="str">
            <v>ПИР и ПСД</v>
          </cell>
          <cell r="J237" t="str">
            <v>прочее</v>
          </cell>
          <cell r="L237">
            <v>1</v>
          </cell>
          <cell r="Q237" t="str">
            <v>2020-2025</v>
          </cell>
        </row>
        <row r="238">
          <cell r="B238" t="str">
            <v>Муниципальный район "Дзержинский район"</v>
          </cell>
          <cell r="I238" t="str">
            <v>ПИР и ПСД</v>
          </cell>
          <cell r="J238" t="str">
            <v>прочее</v>
          </cell>
          <cell r="L238">
            <v>1</v>
          </cell>
          <cell r="Q238" t="str">
            <v>2020-2025</v>
          </cell>
        </row>
        <row r="239">
          <cell r="B239" t="str">
            <v>Муниципальный район "Дзержинский район"</v>
          </cell>
          <cell r="I239" t="str">
            <v>ПИР и ПСД</v>
          </cell>
          <cell r="J239" t="str">
            <v>прочее</v>
          </cell>
          <cell r="L239">
            <v>1</v>
          </cell>
          <cell r="Q239" t="str">
            <v>2020-2025</v>
          </cell>
        </row>
        <row r="240">
          <cell r="B240" t="str">
            <v>Дзержинский филиал</v>
          </cell>
          <cell r="I240">
            <v>0</v>
          </cell>
          <cell r="J240" t="str">
            <v>прочее</v>
          </cell>
          <cell r="L240">
            <v>14</v>
          </cell>
          <cell r="Q240" t="str">
            <v/>
          </cell>
        </row>
        <row r="241">
          <cell r="B241" t="str">
            <v>Муниципальный район "Дзержинский район"</v>
          </cell>
          <cell r="I241" t="str">
            <v>Новое строительство</v>
          </cell>
          <cell r="J241" t="str">
            <v>прочее</v>
          </cell>
          <cell r="L241">
            <v>1</v>
          </cell>
          <cell r="Q241" t="str">
            <v>2026-2030</v>
          </cell>
        </row>
        <row r="242">
          <cell r="B242" t="str">
            <v>Муниципальный район "Дзержинский район"</v>
          </cell>
          <cell r="I242" t="str">
            <v>Новое строительство</v>
          </cell>
          <cell r="J242" t="str">
            <v>прочее</v>
          </cell>
          <cell r="L242">
            <v>1</v>
          </cell>
          <cell r="Q242" t="str">
            <v>2026-2030</v>
          </cell>
        </row>
        <row r="243">
          <cell r="B243" t="str">
            <v>Муниципальный район "Дзержинский район"</v>
          </cell>
          <cell r="I243" t="str">
            <v>Новое строительство</v>
          </cell>
          <cell r="J243" t="str">
            <v>прочее</v>
          </cell>
          <cell r="L243">
            <v>1</v>
          </cell>
          <cell r="Q243" t="str">
            <v>2026-2030</v>
          </cell>
        </row>
        <row r="244">
          <cell r="B244" t="str">
            <v>Муниципальный район "Дзержинский район"</v>
          </cell>
          <cell r="I244" t="str">
            <v>Новое строительство</v>
          </cell>
          <cell r="J244" t="str">
            <v>прочее</v>
          </cell>
          <cell r="L244">
            <v>1</v>
          </cell>
          <cell r="Q244" t="str">
            <v>2026-2030</v>
          </cell>
        </row>
        <row r="245">
          <cell r="B245" t="str">
            <v>Муниципальный район "Дзержинский район"</v>
          </cell>
          <cell r="I245" t="str">
            <v>Новое строительство</v>
          </cell>
          <cell r="J245" t="str">
            <v>прочее</v>
          </cell>
          <cell r="L245">
            <v>1</v>
          </cell>
          <cell r="Q245" t="str">
            <v>2026-2030</v>
          </cell>
        </row>
        <row r="246">
          <cell r="B246" t="str">
            <v>Муниципальный район "Дзержинский район"</v>
          </cell>
          <cell r="I246" t="str">
            <v>Новое строительство</v>
          </cell>
          <cell r="J246" t="str">
            <v>прочее</v>
          </cell>
          <cell r="L246">
            <v>1</v>
          </cell>
          <cell r="Q246" t="str">
            <v>2026-2030</v>
          </cell>
        </row>
        <row r="247">
          <cell r="B247" t="str">
            <v>Муниципальный район "Дзержинский район"</v>
          </cell>
          <cell r="I247" t="str">
            <v>Новое строительство</v>
          </cell>
          <cell r="J247" t="str">
            <v>прочее</v>
          </cell>
          <cell r="L247">
            <v>1</v>
          </cell>
          <cell r="Q247" t="str">
            <v>2026-2030</v>
          </cell>
        </row>
        <row r="248">
          <cell r="B248" t="str">
            <v>Муниципальный район "Дзержинский район"</v>
          </cell>
          <cell r="I248" t="str">
            <v>Новое строительство</v>
          </cell>
          <cell r="J248" t="str">
            <v>прочее</v>
          </cell>
          <cell r="L248">
            <v>1</v>
          </cell>
          <cell r="Q248" t="str">
            <v>2026-2030</v>
          </cell>
        </row>
        <row r="249">
          <cell r="B249" t="str">
            <v>Муниципальный район "Дзержинский район"</v>
          </cell>
          <cell r="I249" t="str">
            <v>Новое строительство</v>
          </cell>
          <cell r="J249" t="str">
            <v>прочее</v>
          </cell>
          <cell r="L249">
            <v>1</v>
          </cell>
          <cell r="Q249" t="str">
            <v>2026-2030</v>
          </cell>
        </row>
        <row r="250">
          <cell r="B250" t="str">
            <v>Муниципальный район "Дзержинский район"</v>
          </cell>
          <cell r="I250" t="str">
            <v>Новое строительство</v>
          </cell>
          <cell r="J250" t="str">
            <v>прочее</v>
          </cell>
          <cell r="L250">
            <v>1</v>
          </cell>
          <cell r="Q250" t="str">
            <v>2026-2030</v>
          </cell>
        </row>
        <row r="251">
          <cell r="B251" t="str">
            <v>Муниципальный район "Дзержинский район"</v>
          </cell>
          <cell r="I251" t="str">
            <v>Новое строительство</v>
          </cell>
          <cell r="J251" t="str">
            <v>прочее</v>
          </cell>
          <cell r="L251">
            <v>1</v>
          </cell>
          <cell r="Q251" t="str">
            <v>2026-2030</v>
          </cell>
        </row>
        <row r="252">
          <cell r="B252" t="str">
            <v>Муниципальный район "Дзержинский район"</v>
          </cell>
          <cell r="I252" t="str">
            <v>Новое строительство</v>
          </cell>
          <cell r="J252" t="str">
            <v>прочее</v>
          </cell>
          <cell r="L252">
            <v>1</v>
          </cell>
          <cell r="Q252" t="str">
            <v>2026-2030</v>
          </cell>
        </row>
        <row r="253">
          <cell r="B253" t="str">
            <v>Муниципальный район "Медынский район"</v>
          </cell>
          <cell r="I253" t="str">
            <v>Новое строительство</v>
          </cell>
          <cell r="J253" t="str">
            <v>прочее</v>
          </cell>
          <cell r="L253">
            <v>1</v>
          </cell>
          <cell r="Q253" t="str">
            <v>2026-2030</v>
          </cell>
        </row>
        <row r="254">
          <cell r="B254" t="str">
            <v>Муниципальный район "Медынский район"</v>
          </cell>
          <cell r="I254" t="str">
            <v>Новое строительство</v>
          </cell>
          <cell r="J254" t="str">
            <v>прочее</v>
          </cell>
          <cell r="L254">
            <v>1</v>
          </cell>
          <cell r="Q254" t="str">
            <v>2026-2030</v>
          </cell>
        </row>
        <row r="255">
          <cell r="B255" t="str">
            <v>Дзержинский филиал</v>
          </cell>
          <cell r="I255">
            <v>0</v>
          </cell>
          <cell r="J255" t="str">
            <v>канализационная сеть</v>
          </cell>
          <cell r="L255">
            <v>9</v>
          </cell>
          <cell r="Q255" t="str">
            <v/>
          </cell>
        </row>
        <row r="256">
          <cell r="B256" t="str">
            <v>Муниципальный район "Дзержинский район"</v>
          </cell>
          <cell r="I256" t="str">
            <v>Новое строительство</v>
          </cell>
          <cell r="J256" t="str">
            <v>ОСК</v>
          </cell>
          <cell r="L256">
            <v>1</v>
          </cell>
          <cell r="Q256" t="str">
            <v>2026-2030</v>
          </cell>
        </row>
        <row r="257">
          <cell r="B257" t="str">
            <v>Муниципальный район "Дзержинский район"</v>
          </cell>
          <cell r="I257" t="str">
            <v>Новое строительство</v>
          </cell>
          <cell r="J257" t="str">
            <v>ОСК</v>
          </cell>
          <cell r="L257">
            <v>1</v>
          </cell>
          <cell r="Q257" t="str">
            <v>2026-2030</v>
          </cell>
        </row>
        <row r="258">
          <cell r="B258" t="str">
            <v>Муниципальный район "Дзержинский район"</v>
          </cell>
          <cell r="I258" t="str">
            <v>Новое строительство</v>
          </cell>
          <cell r="J258" t="str">
            <v>ОСК</v>
          </cell>
          <cell r="L258">
            <v>1</v>
          </cell>
          <cell r="Q258" t="str">
            <v>2026-2030</v>
          </cell>
        </row>
        <row r="259">
          <cell r="B259" t="str">
            <v>Муниципальный район "Дзержинский район"</v>
          </cell>
          <cell r="I259" t="str">
            <v>Новое строительство</v>
          </cell>
          <cell r="J259" t="str">
            <v>ОСК</v>
          </cell>
          <cell r="L259">
            <v>1</v>
          </cell>
          <cell r="Q259" t="str">
            <v>2026-2030</v>
          </cell>
        </row>
        <row r="260">
          <cell r="B260" t="str">
            <v>Муниципальный район "Дзержинский район"</v>
          </cell>
          <cell r="I260" t="str">
            <v>Новое строительство</v>
          </cell>
          <cell r="J260" t="str">
            <v>ОСК</v>
          </cell>
          <cell r="L260">
            <v>1</v>
          </cell>
          <cell r="Q260" t="str">
            <v>2026-2030</v>
          </cell>
        </row>
        <row r="261">
          <cell r="B261" t="str">
            <v>Муниципальный район "Дзержинский район"</v>
          </cell>
          <cell r="I261" t="str">
            <v>Новое строительство</v>
          </cell>
          <cell r="J261" t="str">
            <v>ОСК</v>
          </cell>
          <cell r="L261">
            <v>1</v>
          </cell>
          <cell r="Q261" t="str">
            <v>2026-2030</v>
          </cell>
        </row>
        <row r="262">
          <cell r="B262" t="str">
            <v>Муниципальный район "Дзержинский район"</v>
          </cell>
          <cell r="I262" t="str">
            <v>Новое строительство</v>
          </cell>
          <cell r="J262" t="str">
            <v>ОСК</v>
          </cell>
          <cell r="L262">
            <v>1</v>
          </cell>
          <cell r="Q262" t="str">
            <v>2026-2030</v>
          </cell>
        </row>
        <row r="263">
          <cell r="B263" t="str">
            <v>Муниципальный район "Дзержинский район"</v>
          </cell>
          <cell r="I263" t="str">
            <v>Новое строительство</v>
          </cell>
          <cell r="J263" t="str">
            <v>ОСК</v>
          </cell>
          <cell r="L263">
            <v>1</v>
          </cell>
          <cell r="Q263" t="str">
            <v>2026-2030</v>
          </cell>
        </row>
        <row r="264">
          <cell r="B264" t="str">
            <v>Муниципальный район "Медынский район"</v>
          </cell>
          <cell r="I264" t="str">
            <v>Новое строительство</v>
          </cell>
          <cell r="J264" t="str">
            <v>ОСК</v>
          </cell>
          <cell r="L264">
            <v>1</v>
          </cell>
          <cell r="Q264" t="str">
            <v>2026-2030</v>
          </cell>
        </row>
        <row r="265">
          <cell r="B265" t="str">
            <v>Дзержинский филиал</v>
          </cell>
          <cell r="I265">
            <v>0</v>
          </cell>
          <cell r="J265" t="str">
            <v>канализационная сеть</v>
          </cell>
          <cell r="L265">
            <v>21.358335000000004</v>
          </cell>
          <cell r="Q265" t="str">
            <v/>
          </cell>
        </row>
        <row r="266">
          <cell r="B266" t="str">
            <v>Муниципальный район "Дзержинский район"</v>
          </cell>
          <cell r="I266" t="str">
            <v>Реконструкция</v>
          </cell>
          <cell r="J266" t="str">
            <v>самотечная канализационная сеть</v>
          </cell>
          <cell r="L266">
            <v>3.2090165598290619</v>
          </cell>
          <cell r="Q266" t="str">
            <v>2020-2058</v>
          </cell>
        </row>
        <row r="267">
          <cell r="B267" t="str">
            <v>Муниципальный район "Дзержинский район"</v>
          </cell>
          <cell r="I267" t="str">
            <v>Реконструкция</v>
          </cell>
          <cell r="J267" t="str">
            <v>самотечная канализационная сеть</v>
          </cell>
          <cell r="L267">
            <v>3.9112931196581209</v>
          </cell>
          <cell r="Q267" t="str">
            <v>2020-2058</v>
          </cell>
        </row>
        <row r="268">
          <cell r="B268" t="str">
            <v>Муниципальный район "Дзержинский район"</v>
          </cell>
          <cell r="I268" t="str">
            <v>Реконструкция</v>
          </cell>
          <cell r="J268" t="str">
            <v>самотечная канализационная сеть</v>
          </cell>
          <cell r="L268">
            <v>6.4640096260683784</v>
          </cell>
          <cell r="Q268" t="str">
            <v>2020-2058</v>
          </cell>
        </row>
        <row r="269">
          <cell r="B269" t="str">
            <v>Муниципальный район "Дзержинский район"</v>
          </cell>
          <cell r="I269" t="str">
            <v>Реконструкция</v>
          </cell>
          <cell r="J269" t="str">
            <v>самотечная канализационная сеть</v>
          </cell>
          <cell r="L269">
            <v>3.2485381944444427</v>
          </cell>
          <cell r="Q269" t="str">
            <v>2020-2058</v>
          </cell>
        </row>
        <row r="270">
          <cell r="B270" t="str">
            <v>Муниципальный район "Дзержинский район"</v>
          </cell>
          <cell r="I270" t="str">
            <v>Реконструкция</v>
          </cell>
          <cell r="J270" t="str">
            <v>самотечная канализационная сеть</v>
          </cell>
          <cell r="L270">
            <v>1.2151375000000004</v>
          </cell>
          <cell r="Q270" t="str">
            <v>2020-2058</v>
          </cell>
        </row>
        <row r="271">
          <cell r="B271" t="str">
            <v>Муниципальный район "Медынский район"</v>
          </cell>
          <cell r="I271" t="str">
            <v>Реконструкция</v>
          </cell>
          <cell r="J271" t="str">
            <v>самотечная канализационная сеть</v>
          </cell>
          <cell r="L271">
            <v>0.4448500000000003</v>
          </cell>
          <cell r="Q271" t="str">
            <v>2020-2058</v>
          </cell>
        </row>
        <row r="272">
          <cell r="B272" t="str">
            <v>Муниципальный район "Медынский район"</v>
          </cell>
          <cell r="I272" t="str">
            <v>Реконструкция</v>
          </cell>
          <cell r="J272" t="str">
            <v>самотечная канализационная сеть</v>
          </cell>
          <cell r="L272">
            <v>0.8897000000000006</v>
          </cell>
          <cell r="Q272" t="str">
            <v>2020-2058</v>
          </cell>
        </row>
        <row r="273">
          <cell r="B273" t="str">
            <v>Муниципальный район "Медынский район"</v>
          </cell>
          <cell r="I273" t="str">
            <v>Реконструкция</v>
          </cell>
          <cell r="J273" t="str">
            <v>самотечная канализационная сеть</v>
          </cell>
          <cell r="L273">
            <v>1.1525441666666665</v>
          </cell>
          <cell r="Q273" t="str">
            <v>2020-2058</v>
          </cell>
        </row>
        <row r="274">
          <cell r="B274" t="str">
            <v>Муниципальный район "Медынский район"</v>
          </cell>
          <cell r="I274" t="str">
            <v>Реконструкция</v>
          </cell>
          <cell r="J274" t="str">
            <v>самотечная канализационная сеть</v>
          </cell>
          <cell r="L274">
            <v>0.82324583333333301</v>
          </cell>
          <cell r="Q274" t="str">
            <v>2020-2058</v>
          </cell>
        </row>
        <row r="275">
          <cell r="B275" t="str">
            <v>Сухинический филиал</v>
          </cell>
          <cell r="I275">
            <v>0</v>
          </cell>
          <cell r="J275">
            <v>0</v>
          </cell>
          <cell r="L275">
            <v>0</v>
          </cell>
          <cell r="Q275" t="str">
            <v/>
          </cell>
        </row>
        <row r="276">
          <cell r="B276" t="str">
            <v>Сухинический филиал</v>
          </cell>
          <cell r="I276">
            <v>0</v>
          </cell>
          <cell r="J276" t="str">
            <v>сооружения канализации</v>
          </cell>
          <cell r="L276">
            <v>3</v>
          </cell>
          <cell r="Q276" t="str">
            <v/>
          </cell>
        </row>
        <row r="277">
          <cell r="B277" t="str">
            <v>Муниципальный район "Сухиничский район"</v>
          </cell>
          <cell r="I277" t="str">
            <v>Реконструкция</v>
          </cell>
          <cell r="J277" t="str">
            <v>ОСК</v>
          </cell>
          <cell r="L277">
            <v>1</v>
          </cell>
          <cell r="Q277" t="str">
            <v>2020-2025</v>
          </cell>
        </row>
        <row r="278">
          <cell r="B278" t="str">
            <v>Муниципальный район "Козельский район"</v>
          </cell>
          <cell r="I278" t="str">
            <v>Реконструкция</v>
          </cell>
          <cell r="J278" t="str">
            <v>ОСК</v>
          </cell>
          <cell r="L278">
            <v>1</v>
          </cell>
          <cell r="Q278" t="str">
            <v>2020-2025</v>
          </cell>
        </row>
        <row r="279">
          <cell r="B279" t="str">
            <v>Муниципальный район "Сухиничский район"</v>
          </cell>
          <cell r="I279" t="str">
            <v>Реконструкция</v>
          </cell>
          <cell r="J279" t="str">
            <v>ОСК</v>
          </cell>
          <cell r="L279">
            <v>1</v>
          </cell>
          <cell r="Q279" t="str">
            <v>2020-2025</v>
          </cell>
        </row>
        <row r="280">
          <cell r="B280" t="str">
            <v>Сухинический филиал</v>
          </cell>
          <cell r="I280">
            <v>0</v>
          </cell>
          <cell r="J280" t="str">
            <v>сооружения канализации</v>
          </cell>
          <cell r="L280">
            <v>16</v>
          </cell>
          <cell r="Q280" t="str">
            <v/>
          </cell>
        </row>
        <row r="281">
          <cell r="B281" t="str">
            <v>Муниципальный район "Сухиничский район"</v>
          </cell>
          <cell r="I281" t="str">
            <v>Капитальный ремонт</v>
          </cell>
          <cell r="J281" t="str">
            <v>КНС</v>
          </cell>
          <cell r="L281">
            <v>1</v>
          </cell>
          <cell r="Q281" t="str">
            <v>2020-2025</v>
          </cell>
        </row>
        <row r="282">
          <cell r="B282" t="str">
            <v>Муниципальный район "Сухиничский район"</v>
          </cell>
          <cell r="I282" t="str">
            <v>Капитальный ремонт</v>
          </cell>
          <cell r="J282" t="str">
            <v>КНС</v>
          </cell>
          <cell r="L282">
            <v>1</v>
          </cell>
          <cell r="Q282" t="str">
            <v>2026-2030</v>
          </cell>
        </row>
        <row r="283">
          <cell r="B283" t="str">
            <v>Муниципальный район "Козельский район"</v>
          </cell>
          <cell r="I283" t="str">
            <v>Капитальный ремонт</v>
          </cell>
          <cell r="J283" t="str">
            <v>КНС</v>
          </cell>
          <cell r="L283">
            <v>1</v>
          </cell>
          <cell r="Q283" t="str">
            <v>2026-2030</v>
          </cell>
        </row>
        <row r="284">
          <cell r="B284" t="str">
            <v>Муниципальный район "Козельский район"</v>
          </cell>
          <cell r="I284" t="str">
            <v>Реконструкция</v>
          </cell>
          <cell r="J284" t="str">
            <v>КНС</v>
          </cell>
          <cell r="L284">
            <v>1</v>
          </cell>
          <cell r="Q284" t="str">
            <v>2020-2025</v>
          </cell>
        </row>
        <row r="285">
          <cell r="B285" t="str">
            <v>Муниципальный район "Козельский район"</v>
          </cell>
          <cell r="I285" t="str">
            <v>Реконструкция</v>
          </cell>
          <cell r="J285" t="str">
            <v>КНС</v>
          </cell>
          <cell r="L285">
            <v>1</v>
          </cell>
          <cell r="Q285" t="str">
            <v>2020-2025</v>
          </cell>
        </row>
        <row r="286">
          <cell r="B286" t="str">
            <v>Муниципальный район "Козельский район"</v>
          </cell>
          <cell r="I286" t="str">
            <v>Реконструкция</v>
          </cell>
          <cell r="J286" t="str">
            <v>КНС</v>
          </cell>
          <cell r="L286">
            <v>1</v>
          </cell>
          <cell r="Q286" t="str">
            <v>2020-2025</v>
          </cell>
        </row>
        <row r="287">
          <cell r="B287" t="str">
            <v>Муниципальный район "Козельский район"</v>
          </cell>
          <cell r="I287" t="str">
            <v>Реконструкция</v>
          </cell>
          <cell r="J287" t="str">
            <v>КНС</v>
          </cell>
          <cell r="L287">
            <v>1</v>
          </cell>
          <cell r="Q287" t="str">
            <v>2020-2025</v>
          </cell>
        </row>
        <row r="288">
          <cell r="B288" t="str">
            <v>Муниципальный район "Козельский район"</v>
          </cell>
          <cell r="I288" t="str">
            <v>Реконструкция</v>
          </cell>
          <cell r="J288" t="str">
            <v>КНС</v>
          </cell>
          <cell r="L288">
            <v>1</v>
          </cell>
          <cell r="Q288" t="str">
            <v>2026-2030</v>
          </cell>
        </row>
        <row r="289">
          <cell r="B289" t="str">
            <v>Муниципальный район "Козельский район"</v>
          </cell>
          <cell r="I289" t="str">
            <v>Реконструкция</v>
          </cell>
          <cell r="J289" t="str">
            <v>КНС</v>
          </cell>
          <cell r="L289">
            <v>1</v>
          </cell>
          <cell r="Q289" t="str">
            <v>2026-2030</v>
          </cell>
        </row>
        <row r="290">
          <cell r="B290" t="str">
            <v>Муниципальный район "Козельский район"</v>
          </cell>
          <cell r="I290" t="str">
            <v>Реконструкция</v>
          </cell>
          <cell r="J290" t="str">
            <v>КНС</v>
          </cell>
          <cell r="L290">
            <v>1</v>
          </cell>
          <cell r="Q290" t="str">
            <v>2026-2030</v>
          </cell>
        </row>
        <row r="291">
          <cell r="B291" t="str">
            <v>Муниципальный район "Козельский район"</v>
          </cell>
          <cell r="I291" t="str">
            <v>Реконструкция</v>
          </cell>
          <cell r="J291" t="str">
            <v>КНС</v>
          </cell>
          <cell r="L291">
            <v>1</v>
          </cell>
          <cell r="Q291" t="str">
            <v>2026-2030</v>
          </cell>
        </row>
        <row r="292">
          <cell r="B292" t="str">
            <v>Муниципальный район "Козельский район"</v>
          </cell>
          <cell r="I292" t="str">
            <v>Реконструкция</v>
          </cell>
          <cell r="J292" t="str">
            <v>КНС</v>
          </cell>
          <cell r="L292">
            <v>1</v>
          </cell>
          <cell r="Q292" t="str">
            <v>2026-2030</v>
          </cell>
        </row>
        <row r="293">
          <cell r="B293" t="str">
            <v>Муниципальный район "Сухиничский район"</v>
          </cell>
          <cell r="I293" t="str">
            <v>Реконструкция</v>
          </cell>
          <cell r="J293" t="str">
            <v>КНС</v>
          </cell>
          <cell r="L293">
            <v>1</v>
          </cell>
          <cell r="Q293" t="str">
            <v>2020-2025</v>
          </cell>
        </row>
        <row r="294">
          <cell r="B294" t="str">
            <v>Муниципальный район "Сухиничский район"</v>
          </cell>
          <cell r="I294" t="str">
            <v>Реконструкция</v>
          </cell>
          <cell r="J294" t="str">
            <v>КНС</v>
          </cell>
          <cell r="L294">
            <v>1</v>
          </cell>
          <cell r="Q294" t="str">
            <v>2020-2025</v>
          </cell>
        </row>
        <row r="295">
          <cell r="B295" t="str">
            <v>Муниципальный район "Сухиничский район"</v>
          </cell>
          <cell r="I295" t="str">
            <v>Реконструкция</v>
          </cell>
          <cell r="J295" t="str">
            <v>КНС</v>
          </cell>
          <cell r="L295">
            <v>1</v>
          </cell>
          <cell r="Q295" t="str">
            <v>2026-2030</v>
          </cell>
        </row>
        <row r="296">
          <cell r="B296" t="str">
            <v>Муниципальный район "Козельский район"</v>
          </cell>
          <cell r="I296" t="str">
            <v>Реконструкция</v>
          </cell>
          <cell r="J296" t="str">
            <v>КНС</v>
          </cell>
          <cell r="L296">
            <v>1</v>
          </cell>
          <cell r="Q296" t="str">
            <v>2026-2030</v>
          </cell>
        </row>
        <row r="297">
          <cell r="B297" t="str">
            <v>Сухинический филиал</v>
          </cell>
          <cell r="I297">
            <v>0</v>
          </cell>
          <cell r="J297" t="str">
            <v>прочее</v>
          </cell>
          <cell r="L297">
            <v>25</v>
          </cell>
          <cell r="Q297" t="str">
            <v/>
          </cell>
        </row>
        <row r="298">
          <cell r="B298" t="str">
            <v>Муниципальный район "Козельский район"</v>
          </cell>
          <cell r="I298" t="str">
            <v>ПИР и ПСД</v>
          </cell>
          <cell r="J298" t="str">
            <v>прочее</v>
          </cell>
          <cell r="L298">
            <v>1</v>
          </cell>
          <cell r="Q298" t="str">
            <v>2020-2025</v>
          </cell>
        </row>
        <row r="299">
          <cell r="B299" t="str">
            <v>Муниципальный район "Козельский район"</v>
          </cell>
          <cell r="I299" t="str">
            <v>ПИР и ПСД</v>
          </cell>
          <cell r="J299" t="str">
            <v>прочее</v>
          </cell>
          <cell r="L299">
            <v>1</v>
          </cell>
          <cell r="Q299" t="str">
            <v>2020-2025</v>
          </cell>
        </row>
        <row r="300">
          <cell r="B300" t="str">
            <v>Муниципальный район "Козельский район"</v>
          </cell>
          <cell r="I300" t="str">
            <v>ПИР и ПСД</v>
          </cell>
          <cell r="J300" t="str">
            <v>прочее</v>
          </cell>
          <cell r="L300">
            <v>1</v>
          </cell>
          <cell r="Q300" t="str">
            <v>2020-2025</v>
          </cell>
        </row>
        <row r="301">
          <cell r="B301" t="str">
            <v>Муниципальный район "Козельский район"</v>
          </cell>
          <cell r="I301" t="str">
            <v>ПИР и ПСД</v>
          </cell>
          <cell r="J301" t="str">
            <v>прочее</v>
          </cell>
          <cell r="L301">
            <v>1</v>
          </cell>
          <cell r="Q301" t="str">
            <v>2020-2025</v>
          </cell>
        </row>
        <row r="302">
          <cell r="B302" t="str">
            <v>Муниципальный район "Козельский район"</v>
          </cell>
          <cell r="I302" t="str">
            <v>ПИР и ПСД</v>
          </cell>
          <cell r="J302" t="str">
            <v>прочее</v>
          </cell>
          <cell r="L302">
            <v>1</v>
          </cell>
          <cell r="Q302" t="str">
            <v>2020-2025</v>
          </cell>
        </row>
        <row r="303">
          <cell r="B303" t="str">
            <v>Муниципальный район "Козельский район"</v>
          </cell>
          <cell r="I303" t="str">
            <v>ПИР и ПСД</v>
          </cell>
          <cell r="J303" t="str">
            <v>прочее</v>
          </cell>
          <cell r="L303">
            <v>1</v>
          </cell>
          <cell r="Q303" t="str">
            <v>2020-2025</v>
          </cell>
        </row>
        <row r="304">
          <cell r="B304" t="str">
            <v>Муниципальный район "Козельский район"</v>
          </cell>
          <cell r="I304" t="str">
            <v>ПИР и ПСД</v>
          </cell>
          <cell r="J304" t="str">
            <v>прочее</v>
          </cell>
          <cell r="L304">
            <v>1</v>
          </cell>
          <cell r="Q304" t="str">
            <v>2020-2025</v>
          </cell>
        </row>
        <row r="305">
          <cell r="B305" t="str">
            <v>Муниципальный район "Козельский район"</v>
          </cell>
          <cell r="I305" t="str">
            <v>ПИР и ПСД</v>
          </cell>
          <cell r="J305" t="str">
            <v>прочее</v>
          </cell>
          <cell r="L305">
            <v>1</v>
          </cell>
          <cell r="Q305" t="str">
            <v>2020-2025</v>
          </cell>
        </row>
        <row r="306">
          <cell r="B306" t="str">
            <v>Муниципальный район "Козельский район"</v>
          </cell>
          <cell r="I306" t="str">
            <v>ПИР и ПСД</v>
          </cell>
          <cell r="J306" t="str">
            <v>прочее</v>
          </cell>
          <cell r="L306">
            <v>1</v>
          </cell>
          <cell r="Q306" t="str">
            <v>2020-2025</v>
          </cell>
        </row>
        <row r="307">
          <cell r="B307" t="str">
            <v>Муниципальный район "Сухиничский район"</v>
          </cell>
          <cell r="I307" t="str">
            <v>ПИР и ПСД</v>
          </cell>
          <cell r="J307" t="str">
            <v>прочее</v>
          </cell>
          <cell r="L307">
            <v>1</v>
          </cell>
          <cell r="Q307" t="str">
            <v>2020-2025</v>
          </cell>
        </row>
        <row r="308">
          <cell r="B308" t="str">
            <v>Муниципальный район "Сухиничский район"</v>
          </cell>
          <cell r="I308" t="str">
            <v>ПИР и ПСД</v>
          </cell>
          <cell r="J308" t="str">
            <v>прочее</v>
          </cell>
          <cell r="L308">
            <v>1</v>
          </cell>
          <cell r="Q308" t="str">
            <v>2020-2025</v>
          </cell>
        </row>
        <row r="309">
          <cell r="B309" t="str">
            <v>Муниципальный район "Сухиничский район"</v>
          </cell>
          <cell r="I309" t="str">
            <v>ПИР и ПСД</v>
          </cell>
          <cell r="J309" t="str">
            <v>прочее</v>
          </cell>
          <cell r="L309">
            <v>1</v>
          </cell>
          <cell r="Q309" t="str">
            <v>2020-2025</v>
          </cell>
        </row>
        <row r="310">
          <cell r="B310" t="str">
            <v>Муниципальный район "Сухиничский район"</v>
          </cell>
          <cell r="I310" t="str">
            <v>ПИР и ПСД</v>
          </cell>
          <cell r="J310" t="str">
            <v>прочее</v>
          </cell>
          <cell r="L310">
            <v>1</v>
          </cell>
          <cell r="Q310" t="str">
            <v>2020-2025</v>
          </cell>
        </row>
        <row r="311">
          <cell r="B311" t="str">
            <v>Муниципальный район "Сухиничский район"</v>
          </cell>
          <cell r="I311" t="str">
            <v>ПИР и ПСД</v>
          </cell>
          <cell r="J311" t="str">
            <v>прочее</v>
          </cell>
          <cell r="L311">
            <v>1</v>
          </cell>
          <cell r="Q311" t="str">
            <v>2020-2025</v>
          </cell>
        </row>
        <row r="312">
          <cell r="B312" t="str">
            <v>Муниципальный район "Козельский район"</v>
          </cell>
          <cell r="I312" t="str">
            <v>ПИР и ПСД</v>
          </cell>
          <cell r="J312" t="str">
            <v>прочее</v>
          </cell>
          <cell r="L312">
            <v>1</v>
          </cell>
          <cell r="Q312" t="str">
            <v>2020-2025</v>
          </cell>
        </row>
        <row r="313">
          <cell r="B313" t="str">
            <v>Муниципальный район "Козельский район"</v>
          </cell>
          <cell r="I313" t="str">
            <v>Новое строительство</v>
          </cell>
          <cell r="J313" t="str">
            <v>прочее</v>
          </cell>
          <cell r="L313">
            <v>1</v>
          </cell>
          <cell r="Q313" t="str">
            <v>2026-2030</v>
          </cell>
        </row>
        <row r="314">
          <cell r="B314" t="str">
            <v>Муниципальный район "Сухиничский район"</v>
          </cell>
          <cell r="I314" t="str">
            <v>ПИР и ПСД</v>
          </cell>
          <cell r="J314" t="str">
            <v>прочее</v>
          </cell>
          <cell r="L314">
            <v>2</v>
          </cell>
          <cell r="Q314" t="str">
            <v>2020-2025</v>
          </cell>
        </row>
        <row r="315">
          <cell r="B315" t="str">
            <v>Муниципальный район "Козельский район"</v>
          </cell>
          <cell r="I315" t="str">
            <v>ПИР и ПСД</v>
          </cell>
          <cell r="J315" t="str">
            <v>прочее</v>
          </cell>
          <cell r="L315">
            <v>3</v>
          </cell>
          <cell r="Q315" t="str">
            <v>2020-2025</v>
          </cell>
        </row>
        <row r="316">
          <cell r="B316" t="str">
            <v>Муниципальный район "Сухиничский район"</v>
          </cell>
          <cell r="I316" t="str">
            <v>ПИР и ПСД</v>
          </cell>
          <cell r="J316" t="str">
            <v>прочее</v>
          </cell>
          <cell r="L316">
            <v>4</v>
          </cell>
          <cell r="Q316" t="str">
            <v>2020-2025</v>
          </cell>
        </row>
        <row r="317">
          <cell r="B317" t="str">
            <v>Сухинический филиал</v>
          </cell>
          <cell r="I317">
            <v>0</v>
          </cell>
          <cell r="J317" t="str">
            <v>прочее</v>
          </cell>
          <cell r="L317">
            <v>12</v>
          </cell>
          <cell r="Q317" t="str">
            <v/>
          </cell>
        </row>
        <row r="318">
          <cell r="B318" t="str">
            <v>Муниципальный район "Козельский район"</v>
          </cell>
          <cell r="I318" t="str">
            <v>Новое строительство</v>
          </cell>
          <cell r="J318" t="str">
            <v>прочее</v>
          </cell>
          <cell r="L318">
            <v>1</v>
          </cell>
          <cell r="Q318" t="str">
            <v>2026-2030</v>
          </cell>
        </row>
        <row r="319">
          <cell r="B319" t="str">
            <v>Муниципальный район "Козельский район"</v>
          </cell>
          <cell r="I319" t="str">
            <v>Новое строительство</v>
          </cell>
          <cell r="J319" t="str">
            <v>прочее</v>
          </cell>
          <cell r="L319">
            <v>1</v>
          </cell>
          <cell r="Q319" t="str">
            <v>2026-2030</v>
          </cell>
        </row>
        <row r="320">
          <cell r="B320" t="str">
            <v>Муниципальный район "Козельский район"</v>
          </cell>
          <cell r="I320" t="str">
            <v>Новое строительство</v>
          </cell>
          <cell r="J320" t="str">
            <v>прочее</v>
          </cell>
          <cell r="L320">
            <v>1</v>
          </cell>
          <cell r="Q320" t="str">
            <v>2026-2030</v>
          </cell>
        </row>
        <row r="321">
          <cell r="B321" t="str">
            <v>Муниципальный район "Козельский район"</v>
          </cell>
          <cell r="I321" t="str">
            <v>Новое строительство</v>
          </cell>
          <cell r="J321" t="str">
            <v>прочее</v>
          </cell>
          <cell r="L321">
            <v>1</v>
          </cell>
          <cell r="Q321" t="str">
            <v>2026-2030</v>
          </cell>
        </row>
        <row r="322">
          <cell r="B322" t="str">
            <v>Муниципальный район "Козельский район"</v>
          </cell>
          <cell r="I322" t="str">
            <v>Новое строительство</v>
          </cell>
          <cell r="J322" t="str">
            <v>прочее</v>
          </cell>
          <cell r="L322">
            <v>1</v>
          </cell>
          <cell r="Q322" t="str">
            <v>2026-2030</v>
          </cell>
        </row>
        <row r="323">
          <cell r="B323" t="str">
            <v>Муниципальный район "Сухиничский район"</v>
          </cell>
          <cell r="I323" t="str">
            <v>Новое строительство</v>
          </cell>
          <cell r="J323" t="str">
            <v>прочее</v>
          </cell>
          <cell r="L323">
            <v>1</v>
          </cell>
          <cell r="Q323" t="str">
            <v>2026-2030</v>
          </cell>
        </row>
        <row r="324">
          <cell r="B324" t="str">
            <v>Муниципальный район "Сухиничский район"</v>
          </cell>
          <cell r="I324" t="str">
            <v>Новое строительство</v>
          </cell>
          <cell r="J324" t="str">
            <v>прочее</v>
          </cell>
          <cell r="L324">
            <v>1</v>
          </cell>
          <cell r="Q324" t="str">
            <v>2026-2030</v>
          </cell>
        </row>
        <row r="325">
          <cell r="B325" t="str">
            <v>Муниципальный район "Сухиничский район"</v>
          </cell>
          <cell r="I325" t="str">
            <v>Новое строительство</v>
          </cell>
          <cell r="J325" t="str">
            <v>прочее</v>
          </cell>
          <cell r="L325">
            <v>1</v>
          </cell>
          <cell r="Q325" t="str">
            <v>2026-2030</v>
          </cell>
        </row>
        <row r="326">
          <cell r="B326" t="str">
            <v>Муниципальный район "Сухиничский район"</v>
          </cell>
          <cell r="I326" t="str">
            <v>Новое строительство</v>
          </cell>
          <cell r="J326" t="str">
            <v>прочее</v>
          </cell>
          <cell r="L326">
            <v>1</v>
          </cell>
          <cell r="Q326" t="str">
            <v>2026-2030</v>
          </cell>
        </row>
        <row r="327">
          <cell r="B327" t="str">
            <v>Муниципальный район "Сухиничский район"</v>
          </cell>
          <cell r="I327" t="str">
            <v>Новое строительство</v>
          </cell>
          <cell r="J327" t="str">
            <v>прочее</v>
          </cell>
          <cell r="L327">
            <v>1</v>
          </cell>
          <cell r="Q327" t="str">
            <v>2026-2030</v>
          </cell>
        </row>
        <row r="328">
          <cell r="B328" t="str">
            <v>Муниципальный район "Козельский район"</v>
          </cell>
          <cell r="I328" t="str">
            <v>Новое строительство</v>
          </cell>
          <cell r="J328" t="str">
            <v>прочее</v>
          </cell>
          <cell r="L328">
            <v>1</v>
          </cell>
          <cell r="Q328" t="str">
            <v>2026-2030</v>
          </cell>
        </row>
        <row r="329">
          <cell r="B329" t="str">
            <v>Муниципальный район "Козельский район"</v>
          </cell>
          <cell r="I329" t="str">
            <v>Новое строительство</v>
          </cell>
          <cell r="J329" t="str">
            <v>прочее</v>
          </cell>
          <cell r="L329">
            <v>1</v>
          </cell>
          <cell r="Q329" t="str">
            <v>2026-2030</v>
          </cell>
        </row>
        <row r="330">
          <cell r="B330" t="str">
            <v>Сухинический филиал</v>
          </cell>
          <cell r="I330">
            <v>0</v>
          </cell>
          <cell r="J330" t="str">
            <v>канализационная сеть</v>
          </cell>
          <cell r="L330">
            <v>4</v>
          </cell>
          <cell r="Q330" t="str">
            <v/>
          </cell>
        </row>
        <row r="331">
          <cell r="B331" t="str">
            <v>Муниципальный район "Сухиничский район"</v>
          </cell>
          <cell r="I331" t="str">
            <v>Новое строительство</v>
          </cell>
          <cell r="J331" t="str">
            <v>ОСК</v>
          </cell>
          <cell r="L331">
            <v>1</v>
          </cell>
          <cell r="Q331" t="str">
            <v>2026-2030</v>
          </cell>
        </row>
        <row r="332">
          <cell r="B332" t="str">
            <v>Муниципальный район "Ульяновский район"</v>
          </cell>
          <cell r="I332" t="str">
            <v>Новое строительство</v>
          </cell>
          <cell r="J332" t="str">
            <v>ОСК</v>
          </cell>
          <cell r="L332">
            <v>1</v>
          </cell>
          <cell r="Q332" t="str">
            <v>2026-2030</v>
          </cell>
        </row>
        <row r="333">
          <cell r="B333" t="str">
            <v>Муниципальный район "Мещовский район"</v>
          </cell>
          <cell r="I333" t="str">
            <v>Новое строительство</v>
          </cell>
          <cell r="J333" t="str">
            <v>ОСК</v>
          </cell>
          <cell r="L333">
            <v>1</v>
          </cell>
          <cell r="Q333" t="str">
            <v>2026-2030</v>
          </cell>
        </row>
        <row r="334">
          <cell r="B334" t="str">
            <v>Муниципальный район "Козельский район"</v>
          </cell>
          <cell r="I334" t="str">
            <v>Новое строительство</v>
          </cell>
          <cell r="J334" t="str">
            <v>ОСК</v>
          </cell>
          <cell r="L334">
            <v>1</v>
          </cell>
          <cell r="Q334" t="str">
            <v>2026-2030</v>
          </cell>
        </row>
        <row r="335">
          <cell r="B335" t="str">
            <v>Сухинический филиал</v>
          </cell>
          <cell r="I335">
            <v>0</v>
          </cell>
          <cell r="J335" t="str">
            <v>канализационная сеть</v>
          </cell>
          <cell r="L335">
            <v>29.313830974358979</v>
          </cell>
          <cell r="Q335" t="str">
            <v/>
          </cell>
        </row>
        <row r="336">
          <cell r="B336" t="str">
            <v>Муниципальный район "Козельский район"</v>
          </cell>
          <cell r="I336" t="str">
            <v>Реконструкция</v>
          </cell>
          <cell r="J336" t="str">
            <v>самотечная канализационная сеть</v>
          </cell>
          <cell r="L336">
            <v>2.8848306461538473</v>
          </cell>
          <cell r="Q336" t="str">
            <v>2020-2058</v>
          </cell>
        </row>
        <row r="337">
          <cell r="B337" t="str">
            <v>Муниципальный район "Козельский район"</v>
          </cell>
          <cell r="I337" t="str">
            <v>Реконструкция</v>
          </cell>
          <cell r="J337" t="str">
            <v>самотечная канализационная сеть</v>
          </cell>
          <cell r="L337">
            <v>5.7696612923076946</v>
          </cell>
          <cell r="Q337" t="str">
            <v>2020-2058</v>
          </cell>
        </row>
        <row r="338">
          <cell r="B338" t="str">
            <v>Муниципальный район "Козельский район"</v>
          </cell>
          <cell r="I338" t="str">
            <v>Реконструкция</v>
          </cell>
          <cell r="J338" t="str">
            <v>самотечная канализационная сеть</v>
          </cell>
          <cell r="L338">
            <v>10.09690726153846</v>
          </cell>
          <cell r="Q338" t="str">
            <v>2020-2058</v>
          </cell>
        </row>
        <row r="339">
          <cell r="B339" t="str">
            <v>Муниципальный район "Козельский район"</v>
          </cell>
          <cell r="I339" t="str">
            <v>Реконструкция</v>
          </cell>
          <cell r="J339" t="str">
            <v>самотечная канализационная сеть</v>
          </cell>
          <cell r="L339">
            <v>6.329252000000003</v>
          </cell>
          <cell r="Q339" t="str">
            <v>2020-2058</v>
          </cell>
        </row>
        <row r="340">
          <cell r="B340" t="str">
            <v>Муниципальный район "Козельский район"</v>
          </cell>
          <cell r="I340" t="str">
            <v>Реконструкция</v>
          </cell>
          <cell r="J340" t="str">
            <v>самотечная канализационная сеть</v>
          </cell>
          <cell r="L340">
            <v>2.5317007999999999</v>
          </cell>
          <cell r="Q340" t="str">
            <v>2020-2058</v>
          </cell>
        </row>
        <row r="341">
          <cell r="B341" t="str">
            <v>Муниципальный район "Мещовский район"</v>
          </cell>
          <cell r="I341" t="str">
            <v>Реконструкция</v>
          </cell>
          <cell r="J341" t="str">
            <v>самотечная канализационная сеть</v>
          </cell>
          <cell r="L341">
            <v>7.5692307692307684E-2</v>
          </cell>
          <cell r="Q341" t="str">
            <v>2020-2058</v>
          </cell>
        </row>
        <row r="342">
          <cell r="B342" t="str">
            <v>Муниципальный район "Мещовский район"</v>
          </cell>
          <cell r="I342" t="str">
            <v>Реконструкция</v>
          </cell>
          <cell r="J342" t="str">
            <v>самотечная канализационная сеть</v>
          </cell>
          <cell r="L342">
            <v>0.15138461538461537</v>
          </cell>
          <cell r="Q342" t="str">
            <v>2020-2058</v>
          </cell>
        </row>
        <row r="343">
          <cell r="B343" t="str">
            <v>Муниципальный район "Мещовский район"</v>
          </cell>
          <cell r="I343" t="str">
            <v>Реконструкция</v>
          </cell>
          <cell r="J343" t="str">
            <v>самотечная канализационная сеть</v>
          </cell>
          <cell r="L343">
            <v>0.26492307692307687</v>
          </cell>
          <cell r="Q343" t="str">
            <v>2020-2058</v>
          </cell>
        </row>
        <row r="344">
          <cell r="B344" t="str">
            <v>Муниципальный район "Сухиничский район"</v>
          </cell>
          <cell r="I344" t="str">
            <v>Реконструкция</v>
          </cell>
          <cell r="J344" t="str">
            <v>самотечная канализационная сеть</v>
          </cell>
          <cell r="L344">
            <v>1.2094789743589756</v>
          </cell>
          <cell r="Q344" t="str">
            <v>2020-2058</v>
          </cell>
        </row>
        <row r="345">
          <cell r="B345" t="str">
            <v>Муниципальный район "Сухиничский район"</v>
          </cell>
          <cell r="I345" t="str">
            <v>Реконструкция</v>
          </cell>
          <cell r="J345" t="str">
            <v>самотечная канализационная сеть</v>
          </cell>
          <cell r="L345">
            <v>2.4189579487179511</v>
          </cell>
          <cell r="Q345" t="str">
            <v>2020-2058</v>
          </cell>
        </row>
        <row r="346">
          <cell r="B346" t="str">
            <v>Муниципальный район "Сухиничский район"</v>
          </cell>
          <cell r="I346" t="str">
            <v>Реконструкция</v>
          </cell>
          <cell r="J346" t="str">
            <v>самотечная канализационная сеть</v>
          </cell>
          <cell r="L346">
            <v>3.861033076923079</v>
          </cell>
          <cell r="Q346" t="str">
            <v>2020-2058</v>
          </cell>
        </row>
        <row r="347">
          <cell r="B347" t="str">
            <v>Муниципальный район "Сухиничский район"</v>
          </cell>
          <cell r="I347" t="str">
            <v>Реконструкция</v>
          </cell>
          <cell r="J347" t="str">
            <v>самотечная канализационная сеть</v>
          </cell>
          <cell r="L347">
            <v>2.1504500000000011</v>
          </cell>
          <cell r="Q347" t="str">
            <v>2020-2058</v>
          </cell>
        </row>
        <row r="348">
          <cell r="B348" t="str">
            <v>Муниципальный район "Сухиничский район"</v>
          </cell>
          <cell r="I348" t="str">
            <v>Реконструкция</v>
          </cell>
          <cell r="J348" t="str">
            <v>самотечная канализационная сеть</v>
          </cell>
          <cell r="L348">
            <v>0.8601800000000005</v>
          </cell>
          <cell r="Q348" t="str">
            <v>2020-2058</v>
          </cell>
        </row>
        <row r="349">
          <cell r="B349" t="str">
            <v>Муниципальный район "Ульяновский район"</v>
          </cell>
          <cell r="I349" t="str">
            <v>Реконструкция</v>
          </cell>
          <cell r="J349" t="str">
            <v>самотечная канализационная сеть</v>
          </cell>
          <cell r="L349">
            <v>0.74588461538461559</v>
          </cell>
          <cell r="Q349" t="str">
            <v>2020-2058</v>
          </cell>
        </row>
        <row r="350">
          <cell r="B350" t="str">
            <v>Муниципальный район "Ульяновский район"</v>
          </cell>
          <cell r="I350" t="str">
            <v>Реконструкция</v>
          </cell>
          <cell r="J350" t="str">
            <v>самотечная канализационная сеть</v>
          </cell>
          <cell r="L350">
            <v>1.4917692307692312</v>
          </cell>
          <cell r="Q350" t="str">
            <v>2020-2058</v>
          </cell>
        </row>
        <row r="351">
          <cell r="B351" t="str">
            <v>Муниципальный район "Ульяновский район"</v>
          </cell>
          <cell r="I351" t="str">
            <v>Реконструкция</v>
          </cell>
          <cell r="J351" t="str">
            <v>самотечная канализационная сеть</v>
          </cell>
          <cell r="L351">
            <v>2.6105961538461551</v>
          </cell>
          <cell r="Q351" t="str">
            <v>2020-2058</v>
          </cell>
        </row>
        <row r="352">
          <cell r="B352" t="str">
            <v>Юхновский филиал</v>
          </cell>
          <cell r="I352">
            <v>0</v>
          </cell>
          <cell r="J352">
            <v>0</v>
          </cell>
          <cell r="L352">
            <v>0</v>
          </cell>
          <cell r="Q352" t="str">
            <v/>
          </cell>
        </row>
        <row r="353">
          <cell r="B353" t="str">
            <v>Юхновский филиал</v>
          </cell>
          <cell r="I353">
            <v>0</v>
          </cell>
          <cell r="J353" t="str">
            <v>сооружения канализации</v>
          </cell>
          <cell r="L353">
            <v>5</v>
          </cell>
          <cell r="Q353" t="str">
            <v/>
          </cell>
        </row>
        <row r="354">
          <cell r="B354" t="str">
            <v>Муниципальный район "Барятинский район"</v>
          </cell>
          <cell r="I354" t="str">
            <v>Реконструкция</v>
          </cell>
          <cell r="J354" t="str">
            <v>ОСК</v>
          </cell>
          <cell r="L354">
            <v>1</v>
          </cell>
          <cell r="Q354" t="str">
            <v>2020-2025</v>
          </cell>
        </row>
        <row r="355">
          <cell r="B355" t="str">
            <v>Муниципальный район "Юхновский район"</v>
          </cell>
          <cell r="I355" t="str">
            <v>Реконструкция</v>
          </cell>
          <cell r="J355" t="str">
            <v>ОСК</v>
          </cell>
          <cell r="L355">
            <v>1</v>
          </cell>
          <cell r="Q355" t="str">
            <v>2020-2025</v>
          </cell>
        </row>
        <row r="356">
          <cell r="B356" t="str">
            <v>Муниципальный район "Спас-Деменский район"</v>
          </cell>
          <cell r="I356" t="str">
            <v>Реконструкция</v>
          </cell>
          <cell r="J356" t="str">
            <v>ОСК</v>
          </cell>
          <cell r="L356">
            <v>1</v>
          </cell>
          <cell r="Q356" t="str">
            <v>2026-2030</v>
          </cell>
        </row>
        <row r="357">
          <cell r="B357" t="str">
            <v>Муниципальный район "Юхновский район"</v>
          </cell>
          <cell r="I357" t="str">
            <v>Реконструкция</v>
          </cell>
          <cell r="J357" t="str">
            <v>ОСК</v>
          </cell>
          <cell r="L357">
            <v>1</v>
          </cell>
          <cell r="Q357" t="str">
            <v>2020-2025</v>
          </cell>
        </row>
        <row r="358">
          <cell r="B358" t="str">
            <v>Муниципальный район "Мосальский район"</v>
          </cell>
          <cell r="I358" t="str">
            <v>Реконструкция</v>
          </cell>
          <cell r="J358" t="str">
            <v>ОСК</v>
          </cell>
          <cell r="L358">
            <v>1</v>
          </cell>
          <cell r="Q358" t="str">
            <v>2020-2025</v>
          </cell>
        </row>
        <row r="359">
          <cell r="B359" t="str">
            <v>Юхновский филиал</v>
          </cell>
          <cell r="I359">
            <v>0</v>
          </cell>
          <cell r="J359" t="str">
            <v>прочее</v>
          </cell>
          <cell r="L359">
            <v>12</v>
          </cell>
          <cell r="Q359" t="str">
            <v/>
          </cell>
        </row>
        <row r="360">
          <cell r="B360" t="str">
            <v>Муниципальный район "Юхновский район"</v>
          </cell>
          <cell r="I360" t="str">
            <v>ПИР и ПСД</v>
          </cell>
          <cell r="J360" t="str">
            <v>прочее</v>
          </cell>
          <cell r="L360">
            <v>1</v>
          </cell>
          <cell r="Q360" t="str">
            <v>2020-2025</v>
          </cell>
        </row>
        <row r="361">
          <cell r="B361" t="str">
            <v>Муниципальный район "Юхновский район"</v>
          </cell>
          <cell r="I361" t="str">
            <v>ПИР и ПСД</v>
          </cell>
          <cell r="J361" t="str">
            <v>прочее</v>
          </cell>
          <cell r="L361">
            <v>1</v>
          </cell>
          <cell r="Q361" t="str">
            <v>2020-2025</v>
          </cell>
        </row>
        <row r="362">
          <cell r="B362" t="str">
            <v>Муниципальный район "Юхновский район"</v>
          </cell>
          <cell r="I362" t="str">
            <v>ПИР и ПСД</v>
          </cell>
          <cell r="J362" t="str">
            <v>прочее</v>
          </cell>
          <cell r="L362">
            <v>1</v>
          </cell>
          <cell r="Q362" t="str">
            <v>2020-2025</v>
          </cell>
        </row>
        <row r="363">
          <cell r="B363" t="str">
            <v>Муниципальный район "Юхновский район"</v>
          </cell>
          <cell r="I363" t="str">
            <v>ПИР и ПСД</v>
          </cell>
          <cell r="J363" t="str">
            <v>прочее</v>
          </cell>
          <cell r="L363">
            <v>1</v>
          </cell>
          <cell r="Q363" t="str">
            <v>2020-2025</v>
          </cell>
        </row>
        <row r="364">
          <cell r="B364" t="str">
            <v>Муниципальный район "Юхновский район"</v>
          </cell>
          <cell r="I364" t="str">
            <v>ПИР и ПСД</v>
          </cell>
          <cell r="J364" t="str">
            <v>прочее</v>
          </cell>
          <cell r="L364">
            <v>1</v>
          </cell>
          <cell r="Q364" t="str">
            <v>2020-2025</v>
          </cell>
        </row>
        <row r="365">
          <cell r="B365" t="str">
            <v>Муниципальный район "Юхновский район"</v>
          </cell>
          <cell r="I365" t="str">
            <v>ПИР и ПСД</v>
          </cell>
          <cell r="J365" t="str">
            <v>прочее</v>
          </cell>
          <cell r="L365">
            <v>1</v>
          </cell>
          <cell r="Q365" t="str">
            <v>2020-2025</v>
          </cell>
        </row>
        <row r="366">
          <cell r="B366" t="str">
            <v>Муниципальный район "Барятинский район"</v>
          </cell>
          <cell r="I366" t="str">
            <v>ПИР и ПСД</v>
          </cell>
          <cell r="J366" t="str">
            <v>прочее</v>
          </cell>
          <cell r="L366">
            <v>1</v>
          </cell>
          <cell r="Q366" t="str">
            <v>2020-2025</v>
          </cell>
        </row>
        <row r="367">
          <cell r="B367" t="str">
            <v>Муниципальный район "Барятинский район"</v>
          </cell>
          <cell r="I367" t="str">
            <v>ПИР и ПСД</v>
          </cell>
          <cell r="J367" t="str">
            <v>прочее</v>
          </cell>
          <cell r="L367">
            <v>1</v>
          </cell>
          <cell r="Q367" t="str">
            <v>2020-2025</v>
          </cell>
        </row>
        <row r="368">
          <cell r="B368" t="str">
            <v>Муниципальный район "Юхновский район"</v>
          </cell>
          <cell r="I368" t="str">
            <v>ПИР и ПСД</v>
          </cell>
          <cell r="J368" t="str">
            <v>прочее</v>
          </cell>
          <cell r="L368">
            <v>1</v>
          </cell>
          <cell r="Q368" t="str">
            <v>2020-2025</v>
          </cell>
        </row>
        <row r="369">
          <cell r="B369" t="str">
            <v>Муниципальный район "Спас-Деменский район"</v>
          </cell>
          <cell r="I369" t="str">
            <v>ПИР и ПСД</v>
          </cell>
          <cell r="J369" t="str">
            <v>прочее</v>
          </cell>
          <cell r="L369">
            <v>1</v>
          </cell>
          <cell r="Q369" t="str">
            <v>2020-2025</v>
          </cell>
        </row>
        <row r="370">
          <cell r="B370" t="str">
            <v>Муниципальный район "Юхновский район"</v>
          </cell>
          <cell r="I370" t="str">
            <v>ПИР и ПСД</v>
          </cell>
          <cell r="J370" t="str">
            <v>прочее</v>
          </cell>
          <cell r="L370">
            <v>1</v>
          </cell>
          <cell r="Q370" t="str">
            <v>2020-2025</v>
          </cell>
        </row>
        <row r="371">
          <cell r="B371" t="str">
            <v>Муниципальный район "Мосальский район"</v>
          </cell>
          <cell r="I371" t="str">
            <v>ПИР и ПСД</v>
          </cell>
          <cell r="J371" t="str">
            <v>прочее</v>
          </cell>
          <cell r="L371">
            <v>1</v>
          </cell>
          <cell r="Q371" t="str">
            <v>2020-2025</v>
          </cell>
        </row>
        <row r="372">
          <cell r="B372" t="str">
            <v>Юхновский филиал</v>
          </cell>
          <cell r="I372">
            <v>0</v>
          </cell>
          <cell r="J372" t="str">
            <v>прочее</v>
          </cell>
          <cell r="L372">
            <v>4</v>
          </cell>
          <cell r="Q372" t="str">
            <v/>
          </cell>
        </row>
        <row r="373">
          <cell r="B373" t="str">
            <v>Муниципальный район "Юхновский район"</v>
          </cell>
          <cell r="I373" t="str">
            <v>Новое строительство</v>
          </cell>
          <cell r="J373" t="str">
            <v>прочее</v>
          </cell>
          <cell r="L373">
            <v>1</v>
          </cell>
          <cell r="Q373" t="str">
            <v>2026-2030</v>
          </cell>
        </row>
        <row r="374">
          <cell r="B374" t="str">
            <v>Муниципальный район "Юхновский район"</v>
          </cell>
          <cell r="I374" t="str">
            <v>Новое строительство</v>
          </cell>
          <cell r="J374" t="str">
            <v>прочее</v>
          </cell>
          <cell r="L374">
            <v>1</v>
          </cell>
          <cell r="Q374" t="str">
            <v>2026-2030</v>
          </cell>
        </row>
        <row r="375">
          <cell r="B375" t="str">
            <v>Муниципальный район "Юхновский район"</v>
          </cell>
          <cell r="I375" t="str">
            <v>Новое строительство</v>
          </cell>
          <cell r="J375" t="str">
            <v>прочее</v>
          </cell>
          <cell r="L375">
            <v>1</v>
          </cell>
          <cell r="Q375" t="str">
            <v>2026-2030</v>
          </cell>
        </row>
        <row r="376">
          <cell r="B376" t="str">
            <v>Муниципальный район "Барятинский район"</v>
          </cell>
          <cell r="I376" t="str">
            <v>Новое строительство</v>
          </cell>
          <cell r="J376" t="str">
            <v>прочее</v>
          </cell>
          <cell r="L376">
            <v>1</v>
          </cell>
          <cell r="Q376" t="str">
            <v>2026-2030</v>
          </cell>
        </row>
        <row r="377">
          <cell r="B377" t="str">
            <v>Юхновский филиал</v>
          </cell>
          <cell r="I377">
            <v>0</v>
          </cell>
          <cell r="J377" t="str">
            <v>канализационная сеть</v>
          </cell>
          <cell r="L377">
            <v>1</v>
          </cell>
          <cell r="Q377" t="str">
            <v/>
          </cell>
        </row>
        <row r="378">
          <cell r="B378" t="str">
            <v>Муниципальный район "Износковский район"</v>
          </cell>
          <cell r="I378" t="str">
            <v>Новое строительство</v>
          </cell>
          <cell r="J378" t="str">
            <v>ОСК</v>
          </cell>
          <cell r="L378">
            <v>1</v>
          </cell>
          <cell r="Q378" t="str">
            <v>2026-2030</v>
          </cell>
        </row>
        <row r="379">
          <cell r="B379" t="str">
            <v>Юхновский филиал</v>
          </cell>
          <cell r="I379">
            <v>0</v>
          </cell>
          <cell r="J379" t="str">
            <v>сооружения канализации</v>
          </cell>
          <cell r="L379">
            <v>4</v>
          </cell>
          <cell r="Q379" t="str">
            <v/>
          </cell>
        </row>
        <row r="380">
          <cell r="B380" t="str">
            <v>Муниципальный район "Юхновский район"</v>
          </cell>
          <cell r="I380" t="str">
            <v>Реконструкция</v>
          </cell>
          <cell r="J380" t="str">
            <v>КНС</v>
          </cell>
          <cell r="L380">
            <v>1</v>
          </cell>
          <cell r="Q380" t="str">
            <v>2026-2030</v>
          </cell>
        </row>
        <row r="381">
          <cell r="B381" t="str">
            <v>Муниципальный район "Юхновский район"</v>
          </cell>
          <cell r="I381" t="str">
            <v>Реконструкция</v>
          </cell>
          <cell r="J381" t="str">
            <v>КНС</v>
          </cell>
          <cell r="L381">
            <v>1</v>
          </cell>
          <cell r="Q381" t="str">
            <v>2026-2030</v>
          </cell>
        </row>
        <row r="382">
          <cell r="B382" t="str">
            <v>Муниципальный район "Юхновский район"</v>
          </cell>
          <cell r="I382" t="str">
            <v>Реконструкция</v>
          </cell>
          <cell r="J382" t="str">
            <v>КНС</v>
          </cell>
          <cell r="L382">
            <v>1</v>
          </cell>
          <cell r="Q382" t="str">
            <v>2026-2030</v>
          </cell>
        </row>
        <row r="383">
          <cell r="B383" t="str">
            <v>Муниципальный район "Юхновский район"</v>
          </cell>
          <cell r="I383" t="str">
            <v>Реконструкция</v>
          </cell>
          <cell r="J383" t="str">
            <v>КНС</v>
          </cell>
          <cell r="L383">
            <v>1</v>
          </cell>
          <cell r="Q383" t="str">
            <v>2020-2025</v>
          </cell>
        </row>
        <row r="384">
          <cell r="B384" t="str">
            <v>Юхновский филиал</v>
          </cell>
          <cell r="I384">
            <v>0</v>
          </cell>
          <cell r="J384" t="str">
            <v>канализационная сеть</v>
          </cell>
          <cell r="L384">
            <v>10.914335300000003</v>
          </cell>
          <cell r="Q384" t="str">
            <v/>
          </cell>
        </row>
        <row r="385">
          <cell r="B385" t="str">
            <v>Муниципальный район "Барятинский район"</v>
          </cell>
          <cell r="I385" t="str">
            <v>Реконструкция</v>
          </cell>
          <cell r="J385" t="str">
            <v>самотечная канализационная сеть</v>
          </cell>
          <cell r="L385">
            <v>0.58219999999999994</v>
          </cell>
          <cell r="Q385" t="str">
            <v>2020-2058</v>
          </cell>
        </row>
        <row r="386">
          <cell r="B386" t="str">
            <v>Муниципальный район "Барятинский район"</v>
          </cell>
          <cell r="I386" t="str">
            <v>Реконструкция</v>
          </cell>
          <cell r="J386" t="str">
            <v>самотечная канализационная сеть</v>
          </cell>
          <cell r="L386">
            <v>1.1643999999999999</v>
          </cell>
          <cell r="Q386" t="str">
            <v>2020-2058</v>
          </cell>
        </row>
        <row r="387">
          <cell r="B387" t="str">
            <v>Муниципальный район "Износковский район"</v>
          </cell>
          <cell r="I387" t="str">
            <v>Реконструкция</v>
          </cell>
          <cell r="J387" t="str">
            <v>самотечная канализационная сеть</v>
          </cell>
          <cell r="L387">
            <v>0.35251800000000033</v>
          </cell>
          <cell r="Q387" t="str">
            <v>2020-2058</v>
          </cell>
        </row>
        <row r="388">
          <cell r="B388" t="str">
            <v>Муниципальный район "Мосальский район"</v>
          </cell>
          <cell r="I388" t="str">
            <v>Реконструкция</v>
          </cell>
          <cell r="J388" t="str">
            <v>самотечная канализационная сеть</v>
          </cell>
          <cell r="L388">
            <v>3.2430999999999974</v>
          </cell>
          <cell r="Q388" t="str">
            <v>2020-2058</v>
          </cell>
        </row>
        <row r="389">
          <cell r="B389" t="str">
            <v>Муниципальный район "Спас-Деменский район"</v>
          </cell>
          <cell r="I389" t="str">
            <v>Реконструкция</v>
          </cell>
          <cell r="J389" t="str">
            <v>самотечная канализационная сеть</v>
          </cell>
          <cell r="L389">
            <v>2.5230769230769248E-2</v>
          </cell>
          <cell r="Q389" t="str">
            <v>2020-2058</v>
          </cell>
        </row>
        <row r="390">
          <cell r="B390" t="str">
            <v>Муниципальный район "Спас-Деменский район"</v>
          </cell>
          <cell r="I390" t="str">
            <v>Реконструкция</v>
          </cell>
          <cell r="J390" t="str">
            <v>самотечная канализационная сеть</v>
          </cell>
          <cell r="L390">
            <v>5.0461538461538495E-2</v>
          </cell>
          <cell r="Q390" t="str">
            <v>2020-2058</v>
          </cell>
        </row>
        <row r="391">
          <cell r="B391" t="str">
            <v>Муниципальный район "Спас-Деменский район"</v>
          </cell>
          <cell r="I391" t="str">
            <v>Реконструкция</v>
          </cell>
          <cell r="J391" t="str">
            <v>самотечная канализационная сеть</v>
          </cell>
          <cell r="L391">
            <v>8.8307692307692379E-2</v>
          </cell>
          <cell r="Q391" t="str">
            <v>2020-2058</v>
          </cell>
        </row>
        <row r="392">
          <cell r="B392" t="str">
            <v>Муниципальный район "Юхновский район"</v>
          </cell>
          <cell r="I392" t="str">
            <v>Реконструкция</v>
          </cell>
          <cell r="J392" t="str">
            <v>самотечная канализационная сеть</v>
          </cell>
          <cell r="L392">
            <v>0.89979192222222282</v>
          </cell>
          <cell r="Q392" t="str">
            <v>2020-2058</v>
          </cell>
        </row>
        <row r="393">
          <cell r="B393" t="str">
            <v>Муниципальный район "Юхновский район"</v>
          </cell>
          <cell r="I393" t="str">
            <v>Реконструкция</v>
          </cell>
          <cell r="J393" t="str">
            <v>самотечная канализационная сеть</v>
          </cell>
          <cell r="L393">
            <v>1.7995838444444456</v>
          </cell>
          <cell r="Q393" t="str">
            <v>2020-2058</v>
          </cell>
        </row>
        <row r="394">
          <cell r="B394" t="str">
            <v>Муниципальный район "Юхновский район"</v>
          </cell>
          <cell r="I394" t="str">
            <v>Реконструкция</v>
          </cell>
          <cell r="J394" t="str">
            <v>самотечная канализационная сеть</v>
          </cell>
          <cell r="L394">
            <v>1.580099227777779</v>
          </cell>
          <cell r="Q394" t="str">
            <v>2020-2058</v>
          </cell>
        </row>
        <row r="395">
          <cell r="B395" t="str">
            <v>Муниципальный район "Юхновский район"</v>
          </cell>
          <cell r="I395" t="str">
            <v>Реконструкция</v>
          </cell>
          <cell r="J395" t="str">
            <v>самотечная канализационная сеть</v>
          </cell>
          <cell r="L395">
            <v>1.1286423055555572</v>
          </cell>
          <cell r="Q395" t="str">
            <v>2020-2058</v>
          </cell>
        </row>
        <row r="396">
          <cell r="B396">
            <v>0</v>
          </cell>
          <cell r="I396">
            <v>0</v>
          </cell>
          <cell r="J396">
            <v>0</v>
          </cell>
          <cell r="L396">
            <v>0</v>
          </cell>
          <cell r="Q396" t="str">
            <v/>
          </cell>
        </row>
        <row r="397">
          <cell r="B397">
            <v>0</v>
          </cell>
          <cell r="I397">
            <v>0</v>
          </cell>
          <cell r="J397">
            <v>0</v>
          </cell>
          <cell r="L397">
            <v>0</v>
          </cell>
          <cell r="Q397" t="str">
            <v/>
          </cell>
        </row>
        <row r="398">
          <cell r="B398">
            <v>0</v>
          </cell>
          <cell r="I398">
            <v>0</v>
          </cell>
          <cell r="J398">
            <v>0</v>
          </cell>
          <cell r="L398">
            <v>0</v>
          </cell>
          <cell r="Q398" t="str">
            <v/>
          </cell>
        </row>
        <row r="399">
          <cell r="B399">
            <v>0</v>
          </cell>
          <cell r="I399">
            <v>0</v>
          </cell>
          <cell r="J399">
            <v>0</v>
          </cell>
          <cell r="L399">
            <v>0</v>
          </cell>
          <cell r="Q399" t="str">
            <v/>
          </cell>
        </row>
        <row r="400">
          <cell r="B400">
            <v>0</v>
          </cell>
          <cell r="I400">
            <v>0</v>
          </cell>
          <cell r="J400">
            <v>0</v>
          </cell>
          <cell r="L400">
            <v>0</v>
          </cell>
          <cell r="Q400" t="str">
            <v/>
          </cell>
        </row>
        <row r="401">
          <cell r="B401">
            <v>0</v>
          </cell>
          <cell r="I401">
            <v>0</v>
          </cell>
          <cell r="J401">
            <v>0</v>
          </cell>
          <cell r="L401">
            <v>0</v>
          </cell>
          <cell r="Q401" t="str">
            <v/>
          </cell>
        </row>
        <row r="402">
          <cell r="B402">
            <v>0</v>
          </cell>
          <cell r="I402">
            <v>0</v>
          </cell>
          <cell r="J402">
            <v>0</v>
          </cell>
          <cell r="L402">
            <v>0</v>
          </cell>
          <cell r="Q402" t="str">
            <v/>
          </cell>
        </row>
        <row r="403">
          <cell r="B403">
            <v>0</v>
          </cell>
          <cell r="I403">
            <v>0</v>
          </cell>
          <cell r="J403">
            <v>0</v>
          </cell>
          <cell r="L403">
            <v>0</v>
          </cell>
          <cell r="Q403" t="str">
            <v/>
          </cell>
        </row>
        <row r="404">
          <cell r="B404">
            <v>0</v>
          </cell>
          <cell r="I404">
            <v>0</v>
          </cell>
          <cell r="J404">
            <v>0</v>
          </cell>
          <cell r="L404">
            <v>0</v>
          </cell>
          <cell r="Q404" t="str">
            <v/>
          </cell>
        </row>
        <row r="405">
          <cell r="B405">
            <v>0</v>
          </cell>
          <cell r="I405">
            <v>0</v>
          </cell>
          <cell r="J405">
            <v>0</v>
          </cell>
          <cell r="L405">
            <v>0</v>
          </cell>
          <cell r="Q405" t="str">
            <v/>
          </cell>
        </row>
        <row r="406">
          <cell r="B406">
            <v>0</v>
          </cell>
          <cell r="I406">
            <v>0</v>
          </cell>
          <cell r="J406">
            <v>0</v>
          </cell>
          <cell r="L406">
            <v>0</v>
          </cell>
          <cell r="Q406" t="str">
            <v/>
          </cell>
        </row>
        <row r="407">
          <cell r="B407">
            <v>0</v>
          </cell>
          <cell r="I407">
            <v>0</v>
          </cell>
          <cell r="J407">
            <v>0</v>
          </cell>
          <cell r="L407">
            <v>0</v>
          </cell>
          <cell r="Q407" t="str">
            <v/>
          </cell>
        </row>
        <row r="408">
          <cell r="B408">
            <v>0</v>
          </cell>
          <cell r="I408">
            <v>0</v>
          </cell>
          <cell r="J408">
            <v>0</v>
          </cell>
          <cell r="L408">
            <v>0</v>
          </cell>
          <cell r="Q408" t="str">
            <v/>
          </cell>
        </row>
        <row r="409">
          <cell r="B409">
            <v>0</v>
          </cell>
          <cell r="I409">
            <v>0</v>
          </cell>
          <cell r="J409">
            <v>0</v>
          </cell>
          <cell r="L409">
            <v>0</v>
          </cell>
          <cell r="Q409" t="str">
            <v/>
          </cell>
        </row>
        <row r="410">
          <cell r="B410">
            <v>0</v>
          </cell>
          <cell r="I410">
            <v>0</v>
          </cell>
          <cell r="J410">
            <v>0</v>
          </cell>
          <cell r="L410">
            <v>0</v>
          </cell>
          <cell r="Q410" t="str">
            <v/>
          </cell>
        </row>
        <row r="411">
          <cell r="B411">
            <v>0</v>
          </cell>
          <cell r="I411">
            <v>0</v>
          </cell>
          <cell r="J411">
            <v>0</v>
          </cell>
          <cell r="L411">
            <v>0</v>
          </cell>
          <cell r="Q411" t="str">
            <v/>
          </cell>
        </row>
        <row r="412">
          <cell r="B412">
            <v>0</v>
          </cell>
          <cell r="I412">
            <v>0</v>
          </cell>
          <cell r="J412">
            <v>0</v>
          </cell>
          <cell r="L412">
            <v>0</v>
          </cell>
          <cell r="Q412" t="str">
            <v/>
          </cell>
        </row>
        <row r="413">
          <cell r="B413">
            <v>0</v>
          </cell>
          <cell r="I413">
            <v>0</v>
          </cell>
          <cell r="J413">
            <v>0</v>
          </cell>
          <cell r="L413">
            <v>0</v>
          </cell>
          <cell r="Q413" t="str">
            <v/>
          </cell>
        </row>
        <row r="414">
          <cell r="B414">
            <v>0</v>
          </cell>
          <cell r="I414">
            <v>0</v>
          </cell>
          <cell r="J414">
            <v>0</v>
          </cell>
          <cell r="L414">
            <v>0</v>
          </cell>
          <cell r="Q414" t="str">
            <v/>
          </cell>
        </row>
        <row r="415">
          <cell r="B415">
            <v>0</v>
          </cell>
          <cell r="I415">
            <v>0</v>
          </cell>
          <cell r="J415">
            <v>0</v>
          </cell>
          <cell r="L415">
            <v>0</v>
          </cell>
          <cell r="Q415" t="str">
            <v/>
          </cell>
        </row>
        <row r="416">
          <cell r="B416">
            <v>0</v>
          </cell>
          <cell r="I416">
            <v>0</v>
          </cell>
          <cell r="J416">
            <v>0</v>
          </cell>
          <cell r="L416">
            <v>0</v>
          </cell>
          <cell r="Q416" t="str">
            <v/>
          </cell>
        </row>
        <row r="417">
          <cell r="B417">
            <v>0</v>
          </cell>
          <cell r="I417">
            <v>0</v>
          </cell>
          <cell r="J417">
            <v>0</v>
          </cell>
          <cell r="L417">
            <v>0</v>
          </cell>
          <cell r="Q417" t="str">
            <v/>
          </cell>
        </row>
        <row r="418">
          <cell r="B418">
            <v>0</v>
          </cell>
          <cell r="I418">
            <v>0</v>
          </cell>
          <cell r="J418">
            <v>0</v>
          </cell>
          <cell r="L418">
            <v>0</v>
          </cell>
          <cell r="Q418" t="str">
            <v/>
          </cell>
        </row>
        <row r="419">
          <cell r="B419">
            <v>0</v>
          </cell>
          <cell r="I419">
            <v>0</v>
          </cell>
          <cell r="J419">
            <v>0</v>
          </cell>
          <cell r="L419">
            <v>0</v>
          </cell>
          <cell r="Q419" t="str">
            <v/>
          </cell>
        </row>
        <row r="420">
          <cell r="B420">
            <v>0</v>
          </cell>
          <cell r="I420">
            <v>0</v>
          </cell>
          <cell r="J420">
            <v>0</v>
          </cell>
          <cell r="L420">
            <v>0</v>
          </cell>
          <cell r="Q420" t="str">
            <v/>
          </cell>
        </row>
        <row r="421">
          <cell r="B421">
            <v>0</v>
          </cell>
          <cell r="I421">
            <v>0</v>
          </cell>
          <cell r="J421">
            <v>0</v>
          </cell>
          <cell r="L421">
            <v>0</v>
          </cell>
          <cell r="Q421" t="str">
            <v/>
          </cell>
        </row>
        <row r="422">
          <cell r="B422">
            <v>0</v>
          </cell>
          <cell r="I422">
            <v>0</v>
          </cell>
          <cell r="J422">
            <v>0</v>
          </cell>
          <cell r="L422">
            <v>0</v>
          </cell>
          <cell r="Q422" t="str">
            <v/>
          </cell>
        </row>
        <row r="423">
          <cell r="B423">
            <v>0</v>
          </cell>
          <cell r="I423">
            <v>0</v>
          </cell>
          <cell r="J423">
            <v>0</v>
          </cell>
          <cell r="L423">
            <v>0</v>
          </cell>
          <cell r="Q423" t="str">
            <v/>
          </cell>
        </row>
        <row r="424">
          <cell r="B424">
            <v>0</v>
          </cell>
          <cell r="I424">
            <v>0</v>
          </cell>
          <cell r="J424">
            <v>0</v>
          </cell>
          <cell r="L424">
            <v>0</v>
          </cell>
          <cell r="Q424" t="str">
            <v/>
          </cell>
        </row>
        <row r="425">
          <cell r="B425">
            <v>0</v>
          </cell>
          <cell r="I425">
            <v>0</v>
          </cell>
          <cell r="J425">
            <v>0</v>
          </cell>
          <cell r="L425">
            <v>0</v>
          </cell>
          <cell r="Q425" t="str">
            <v/>
          </cell>
        </row>
        <row r="426">
          <cell r="B426">
            <v>0</v>
          </cell>
          <cell r="I426">
            <v>0</v>
          </cell>
          <cell r="J426">
            <v>0</v>
          </cell>
          <cell r="L426">
            <v>0</v>
          </cell>
          <cell r="Q426" t="str">
            <v/>
          </cell>
        </row>
        <row r="427">
          <cell r="B427">
            <v>0</v>
          </cell>
          <cell r="I427">
            <v>0</v>
          </cell>
          <cell r="J427">
            <v>0</v>
          </cell>
          <cell r="L427">
            <v>0</v>
          </cell>
          <cell r="Q427" t="str">
            <v/>
          </cell>
        </row>
        <row r="428">
          <cell r="B428">
            <v>0</v>
          </cell>
          <cell r="I428">
            <v>0</v>
          </cell>
          <cell r="J428">
            <v>0</v>
          </cell>
          <cell r="L428">
            <v>0</v>
          </cell>
          <cell r="Q428" t="str">
            <v/>
          </cell>
        </row>
        <row r="429">
          <cell r="B429">
            <v>0</v>
          </cell>
          <cell r="I429">
            <v>0</v>
          </cell>
          <cell r="J429">
            <v>0</v>
          </cell>
          <cell r="L429">
            <v>0</v>
          </cell>
          <cell r="Q429" t="str">
            <v/>
          </cell>
        </row>
        <row r="430">
          <cell r="B430">
            <v>0</v>
          </cell>
          <cell r="I430">
            <v>0</v>
          </cell>
          <cell r="J430">
            <v>0</v>
          </cell>
          <cell r="L430">
            <v>0</v>
          </cell>
          <cell r="Q430" t="str">
            <v/>
          </cell>
        </row>
        <row r="431">
          <cell r="B431">
            <v>0</v>
          </cell>
          <cell r="I431">
            <v>0</v>
          </cell>
          <cell r="J431">
            <v>0</v>
          </cell>
          <cell r="L431">
            <v>0</v>
          </cell>
          <cell r="Q431" t="str">
            <v/>
          </cell>
        </row>
        <row r="432">
          <cell r="B432">
            <v>0</v>
          </cell>
          <cell r="I432">
            <v>0</v>
          </cell>
          <cell r="J432">
            <v>0</v>
          </cell>
          <cell r="L432">
            <v>0</v>
          </cell>
          <cell r="Q432" t="str">
            <v/>
          </cell>
        </row>
        <row r="433">
          <cell r="B433">
            <v>0</v>
          </cell>
          <cell r="I433">
            <v>0</v>
          </cell>
          <cell r="J433">
            <v>0</v>
          </cell>
          <cell r="L433">
            <v>0</v>
          </cell>
          <cell r="Q433" t="str">
            <v/>
          </cell>
        </row>
        <row r="434">
          <cell r="B434">
            <v>0</v>
          </cell>
          <cell r="I434">
            <v>0</v>
          </cell>
          <cell r="J434">
            <v>0</v>
          </cell>
          <cell r="L434">
            <v>0</v>
          </cell>
          <cell r="Q434" t="str">
            <v/>
          </cell>
        </row>
        <row r="435">
          <cell r="B435">
            <v>0</v>
          </cell>
          <cell r="I435">
            <v>0</v>
          </cell>
          <cell r="J435">
            <v>0</v>
          </cell>
          <cell r="L435">
            <v>0</v>
          </cell>
          <cell r="Q435" t="str">
            <v/>
          </cell>
        </row>
        <row r="436">
          <cell r="B436">
            <v>0</v>
          </cell>
          <cell r="I436">
            <v>0</v>
          </cell>
          <cell r="J436">
            <v>0</v>
          </cell>
          <cell r="L436">
            <v>0</v>
          </cell>
          <cell r="Q436" t="str">
            <v/>
          </cell>
        </row>
        <row r="437">
          <cell r="B437">
            <v>0</v>
          </cell>
          <cell r="I437">
            <v>0</v>
          </cell>
          <cell r="J437">
            <v>0</v>
          </cell>
          <cell r="L437">
            <v>0</v>
          </cell>
          <cell r="Q437" t="str">
            <v/>
          </cell>
        </row>
        <row r="438">
          <cell r="B438">
            <v>0</v>
          </cell>
          <cell r="I438">
            <v>0</v>
          </cell>
          <cell r="J438">
            <v>0</v>
          </cell>
          <cell r="L438">
            <v>0</v>
          </cell>
          <cell r="Q438" t="str">
            <v/>
          </cell>
        </row>
        <row r="439">
          <cell r="B439">
            <v>0</v>
          </cell>
          <cell r="I439">
            <v>0</v>
          </cell>
          <cell r="J439">
            <v>0</v>
          </cell>
          <cell r="L439">
            <v>0</v>
          </cell>
          <cell r="Q439" t="str">
            <v/>
          </cell>
        </row>
        <row r="440">
          <cell r="B440">
            <v>0</v>
          </cell>
          <cell r="I440">
            <v>0</v>
          </cell>
          <cell r="J440">
            <v>0</v>
          </cell>
          <cell r="L440">
            <v>0</v>
          </cell>
          <cell r="Q440" t="str">
            <v/>
          </cell>
        </row>
        <row r="441">
          <cell r="B441">
            <v>0</v>
          </cell>
          <cell r="I441">
            <v>0</v>
          </cell>
          <cell r="J441">
            <v>0</v>
          </cell>
          <cell r="L441">
            <v>0</v>
          </cell>
          <cell r="Q441" t="str">
            <v/>
          </cell>
        </row>
        <row r="442">
          <cell r="B442">
            <v>0</v>
          </cell>
          <cell r="I442">
            <v>0</v>
          </cell>
          <cell r="J442">
            <v>0</v>
          </cell>
          <cell r="L442">
            <v>0</v>
          </cell>
          <cell r="Q442" t="str">
            <v/>
          </cell>
        </row>
        <row r="443">
          <cell r="B443">
            <v>0</v>
          </cell>
          <cell r="I443">
            <v>0</v>
          </cell>
          <cell r="J443">
            <v>0</v>
          </cell>
          <cell r="L443">
            <v>0</v>
          </cell>
          <cell r="Q443" t="str">
            <v/>
          </cell>
        </row>
        <row r="444">
          <cell r="B444">
            <v>0</v>
          </cell>
          <cell r="I444">
            <v>0</v>
          </cell>
          <cell r="J444">
            <v>0</v>
          </cell>
          <cell r="L444">
            <v>0</v>
          </cell>
          <cell r="Q444" t="str">
            <v/>
          </cell>
        </row>
        <row r="445">
          <cell r="B445">
            <v>0</v>
          </cell>
          <cell r="I445">
            <v>0</v>
          </cell>
          <cell r="J445">
            <v>0</v>
          </cell>
          <cell r="L445">
            <v>0</v>
          </cell>
          <cell r="Q445" t="str">
            <v/>
          </cell>
        </row>
        <row r="446">
          <cell r="B446">
            <v>0</v>
          </cell>
          <cell r="I446">
            <v>0</v>
          </cell>
          <cell r="J446">
            <v>0</v>
          </cell>
          <cell r="L446">
            <v>0</v>
          </cell>
          <cell r="Q446" t="str">
            <v/>
          </cell>
        </row>
        <row r="447">
          <cell r="B447">
            <v>0</v>
          </cell>
          <cell r="I447">
            <v>0</v>
          </cell>
          <cell r="J447">
            <v>0</v>
          </cell>
          <cell r="L447">
            <v>0</v>
          </cell>
          <cell r="Q447" t="str">
            <v/>
          </cell>
        </row>
        <row r="448">
          <cell r="B448">
            <v>0</v>
          </cell>
          <cell r="I448">
            <v>0</v>
          </cell>
          <cell r="J448">
            <v>0</v>
          </cell>
          <cell r="L448">
            <v>0</v>
          </cell>
          <cell r="Q448" t="str">
            <v/>
          </cell>
        </row>
        <row r="449">
          <cell r="B449">
            <v>0</v>
          </cell>
          <cell r="I449">
            <v>0</v>
          </cell>
          <cell r="J449">
            <v>0</v>
          </cell>
          <cell r="L449">
            <v>0</v>
          </cell>
          <cell r="Q449" t="str">
            <v/>
          </cell>
        </row>
        <row r="450">
          <cell r="B450">
            <v>0</v>
          </cell>
          <cell r="I450">
            <v>0</v>
          </cell>
          <cell r="J450">
            <v>0</v>
          </cell>
          <cell r="L450">
            <v>0</v>
          </cell>
          <cell r="Q450" t="str">
            <v/>
          </cell>
        </row>
        <row r="451">
          <cell r="B451">
            <v>0</v>
          </cell>
          <cell r="I451">
            <v>0</v>
          </cell>
          <cell r="J451">
            <v>0</v>
          </cell>
          <cell r="L451">
            <v>0</v>
          </cell>
          <cell r="Q451" t="str">
            <v/>
          </cell>
        </row>
        <row r="452">
          <cell r="B452">
            <v>0</v>
          </cell>
          <cell r="I452">
            <v>0</v>
          </cell>
          <cell r="J452">
            <v>0</v>
          </cell>
          <cell r="L452">
            <v>0</v>
          </cell>
          <cell r="Q452" t="str">
            <v/>
          </cell>
        </row>
        <row r="453">
          <cell r="B453">
            <v>0</v>
          </cell>
          <cell r="I453">
            <v>0</v>
          </cell>
          <cell r="J453">
            <v>0</v>
          </cell>
          <cell r="L453">
            <v>0</v>
          </cell>
          <cell r="Q453" t="str">
            <v/>
          </cell>
        </row>
        <row r="454">
          <cell r="B454">
            <v>0</v>
          </cell>
          <cell r="I454">
            <v>0</v>
          </cell>
          <cell r="J454">
            <v>0</v>
          </cell>
          <cell r="L454">
            <v>0</v>
          </cell>
          <cell r="Q454" t="str">
            <v/>
          </cell>
        </row>
        <row r="455">
          <cell r="B455">
            <v>0</v>
          </cell>
          <cell r="I455">
            <v>0</v>
          </cell>
          <cell r="J455">
            <v>0</v>
          </cell>
          <cell r="L455">
            <v>0</v>
          </cell>
          <cell r="Q455" t="str">
            <v/>
          </cell>
        </row>
        <row r="456">
          <cell r="B456">
            <v>0</v>
          </cell>
          <cell r="I456">
            <v>0</v>
          </cell>
          <cell r="J456">
            <v>0</v>
          </cell>
          <cell r="L456">
            <v>0</v>
          </cell>
          <cell r="Q456" t="str">
            <v/>
          </cell>
        </row>
        <row r="457">
          <cell r="B457">
            <v>0</v>
          </cell>
          <cell r="I457">
            <v>0</v>
          </cell>
          <cell r="J457">
            <v>0</v>
          </cell>
          <cell r="L457">
            <v>0</v>
          </cell>
          <cell r="Q457" t="str">
            <v/>
          </cell>
        </row>
        <row r="458">
          <cell r="B458">
            <v>0</v>
          </cell>
          <cell r="I458">
            <v>0</v>
          </cell>
          <cell r="J458">
            <v>0</v>
          </cell>
          <cell r="L458">
            <v>0</v>
          </cell>
          <cell r="Q458" t="str">
            <v/>
          </cell>
        </row>
        <row r="459">
          <cell r="B459">
            <v>0</v>
          </cell>
          <cell r="I459">
            <v>0</v>
          </cell>
          <cell r="J459">
            <v>0</v>
          </cell>
          <cell r="L459">
            <v>0</v>
          </cell>
          <cell r="Q459" t="str">
            <v/>
          </cell>
        </row>
        <row r="460">
          <cell r="B460">
            <v>0</v>
          </cell>
          <cell r="I460">
            <v>0</v>
          </cell>
          <cell r="J460">
            <v>0</v>
          </cell>
          <cell r="L460">
            <v>0</v>
          </cell>
          <cell r="Q460" t="str">
            <v/>
          </cell>
        </row>
        <row r="461">
          <cell r="B461">
            <v>0</v>
          </cell>
          <cell r="I461">
            <v>0</v>
          </cell>
          <cell r="J461">
            <v>0</v>
          </cell>
          <cell r="L461">
            <v>0</v>
          </cell>
          <cell r="Q461" t="str">
            <v/>
          </cell>
        </row>
        <row r="462">
          <cell r="B462">
            <v>0</v>
          </cell>
          <cell r="I462">
            <v>0</v>
          </cell>
          <cell r="J462">
            <v>0</v>
          </cell>
          <cell r="L462">
            <v>0</v>
          </cell>
          <cell r="Q462" t="str">
            <v/>
          </cell>
        </row>
        <row r="463">
          <cell r="B463">
            <v>0</v>
          </cell>
          <cell r="I463">
            <v>0</v>
          </cell>
          <cell r="J463">
            <v>0</v>
          </cell>
          <cell r="L463">
            <v>0</v>
          </cell>
          <cell r="Q463" t="str">
            <v/>
          </cell>
        </row>
        <row r="464">
          <cell r="B464">
            <v>0</v>
          </cell>
          <cell r="I464">
            <v>0</v>
          </cell>
          <cell r="J464">
            <v>0</v>
          </cell>
          <cell r="L464">
            <v>0</v>
          </cell>
          <cell r="Q464" t="str">
            <v/>
          </cell>
        </row>
        <row r="465">
          <cell r="B465">
            <v>0</v>
          </cell>
          <cell r="I465">
            <v>0</v>
          </cell>
          <cell r="J465">
            <v>0</v>
          </cell>
          <cell r="L465">
            <v>0</v>
          </cell>
          <cell r="Q465" t="str">
            <v/>
          </cell>
        </row>
        <row r="466">
          <cell r="B466">
            <v>0</v>
          </cell>
          <cell r="I466">
            <v>0</v>
          </cell>
          <cell r="J466">
            <v>0</v>
          </cell>
          <cell r="L466">
            <v>0</v>
          </cell>
          <cell r="Q466" t="str">
            <v/>
          </cell>
        </row>
        <row r="467">
          <cell r="B467">
            <v>0</v>
          </cell>
          <cell r="I467">
            <v>0</v>
          </cell>
          <cell r="J467">
            <v>0</v>
          </cell>
          <cell r="L467">
            <v>0</v>
          </cell>
          <cell r="Q467" t="str">
            <v/>
          </cell>
        </row>
        <row r="468">
          <cell r="B468">
            <v>0</v>
          </cell>
          <cell r="I468">
            <v>0</v>
          </cell>
          <cell r="J468">
            <v>0</v>
          </cell>
          <cell r="L468">
            <v>0</v>
          </cell>
          <cell r="Q468" t="str">
            <v/>
          </cell>
        </row>
        <row r="469">
          <cell r="B469">
            <v>0</v>
          </cell>
          <cell r="I469">
            <v>0</v>
          </cell>
          <cell r="J469">
            <v>0</v>
          </cell>
          <cell r="L469">
            <v>0</v>
          </cell>
          <cell r="Q469" t="str">
            <v/>
          </cell>
        </row>
        <row r="470">
          <cell r="B470">
            <v>0</v>
          </cell>
          <cell r="I470">
            <v>0</v>
          </cell>
          <cell r="J470">
            <v>0</v>
          </cell>
          <cell r="L470">
            <v>0</v>
          </cell>
          <cell r="Q470" t="str">
            <v/>
          </cell>
        </row>
        <row r="471">
          <cell r="B471">
            <v>0</v>
          </cell>
          <cell r="I471">
            <v>0</v>
          </cell>
          <cell r="J471">
            <v>0</v>
          </cell>
          <cell r="L471">
            <v>0</v>
          </cell>
          <cell r="Q471" t="str">
            <v/>
          </cell>
        </row>
        <row r="472">
          <cell r="B472">
            <v>0</v>
          </cell>
          <cell r="I472">
            <v>0</v>
          </cell>
          <cell r="J472">
            <v>0</v>
          </cell>
          <cell r="L472">
            <v>0</v>
          </cell>
          <cell r="Q472" t="str">
            <v/>
          </cell>
        </row>
        <row r="473">
          <cell r="B473">
            <v>0</v>
          </cell>
          <cell r="I473">
            <v>0</v>
          </cell>
          <cell r="J473">
            <v>0</v>
          </cell>
          <cell r="L473">
            <v>0</v>
          </cell>
          <cell r="Q473" t="str">
            <v/>
          </cell>
        </row>
        <row r="474">
          <cell r="B474">
            <v>0</v>
          </cell>
          <cell r="I474">
            <v>0</v>
          </cell>
          <cell r="J474">
            <v>0</v>
          </cell>
          <cell r="L474">
            <v>0</v>
          </cell>
          <cell r="Q474" t="str">
            <v/>
          </cell>
        </row>
        <row r="475">
          <cell r="B475">
            <v>0</v>
          </cell>
          <cell r="I475">
            <v>0</v>
          </cell>
          <cell r="J475">
            <v>0</v>
          </cell>
          <cell r="L475">
            <v>0</v>
          </cell>
          <cell r="Q475" t="str">
            <v/>
          </cell>
        </row>
        <row r="476">
          <cell r="B476">
            <v>0</v>
          </cell>
          <cell r="I476">
            <v>0</v>
          </cell>
          <cell r="J476">
            <v>0</v>
          </cell>
          <cell r="L476">
            <v>0</v>
          </cell>
          <cell r="Q476" t="str">
            <v/>
          </cell>
        </row>
        <row r="477">
          <cell r="B477">
            <v>0</v>
          </cell>
          <cell r="I477">
            <v>0</v>
          </cell>
          <cell r="J477">
            <v>0</v>
          </cell>
          <cell r="L477">
            <v>0</v>
          </cell>
          <cell r="Q477" t="str">
            <v/>
          </cell>
        </row>
        <row r="478">
          <cell r="B478">
            <v>0</v>
          </cell>
          <cell r="I478">
            <v>0</v>
          </cell>
          <cell r="J478">
            <v>0</v>
          </cell>
          <cell r="L478">
            <v>0</v>
          </cell>
          <cell r="Q478" t="str">
            <v/>
          </cell>
        </row>
        <row r="479">
          <cell r="B479">
            <v>0</v>
          </cell>
          <cell r="I479">
            <v>0</v>
          </cell>
          <cell r="J479">
            <v>0</v>
          </cell>
          <cell r="L479">
            <v>0</v>
          </cell>
          <cell r="Q479" t="str">
            <v/>
          </cell>
        </row>
        <row r="480">
          <cell r="B480">
            <v>0</v>
          </cell>
          <cell r="I480">
            <v>0</v>
          </cell>
          <cell r="J480">
            <v>0</v>
          </cell>
          <cell r="L480">
            <v>0</v>
          </cell>
          <cell r="Q480" t="str">
            <v/>
          </cell>
        </row>
        <row r="481">
          <cell r="B481">
            <v>0</v>
          </cell>
          <cell r="I481">
            <v>0</v>
          </cell>
          <cell r="J481">
            <v>0</v>
          </cell>
          <cell r="L481">
            <v>0</v>
          </cell>
          <cell r="Q481" t="str">
            <v/>
          </cell>
        </row>
        <row r="482">
          <cell r="B482">
            <v>0</v>
          </cell>
          <cell r="I482">
            <v>0</v>
          </cell>
          <cell r="J482">
            <v>0</v>
          </cell>
          <cell r="L482">
            <v>0</v>
          </cell>
          <cell r="Q482" t="str">
            <v/>
          </cell>
        </row>
        <row r="483">
          <cell r="B483">
            <v>0</v>
          </cell>
          <cell r="I483">
            <v>0</v>
          </cell>
          <cell r="J483">
            <v>0</v>
          </cell>
          <cell r="L483">
            <v>0</v>
          </cell>
          <cell r="Q483" t="str">
            <v/>
          </cell>
        </row>
        <row r="484">
          <cell r="B484">
            <v>0</v>
          </cell>
          <cell r="I484">
            <v>0</v>
          </cell>
          <cell r="J484">
            <v>0</v>
          </cell>
          <cell r="L484">
            <v>0</v>
          </cell>
          <cell r="Q484" t="str">
            <v/>
          </cell>
        </row>
        <row r="485">
          <cell r="B485">
            <v>0</v>
          </cell>
          <cell r="I485">
            <v>0</v>
          </cell>
          <cell r="J485">
            <v>0</v>
          </cell>
          <cell r="L485">
            <v>0</v>
          </cell>
          <cell r="Q485" t="str">
            <v/>
          </cell>
        </row>
        <row r="486">
          <cell r="B486">
            <v>0</v>
          </cell>
          <cell r="I486">
            <v>0</v>
          </cell>
          <cell r="J486">
            <v>0</v>
          </cell>
          <cell r="L486">
            <v>0</v>
          </cell>
          <cell r="Q486" t="str">
            <v/>
          </cell>
        </row>
        <row r="487">
          <cell r="B487">
            <v>0</v>
          </cell>
          <cell r="I487">
            <v>0</v>
          </cell>
          <cell r="J487">
            <v>0</v>
          </cell>
          <cell r="L487">
            <v>0</v>
          </cell>
          <cell r="Q487" t="str">
            <v/>
          </cell>
        </row>
        <row r="488">
          <cell r="B488">
            <v>0</v>
          </cell>
          <cell r="I488">
            <v>0</v>
          </cell>
          <cell r="J488">
            <v>0</v>
          </cell>
          <cell r="L488">
            <v>0</v>
          </cell>
          <cell r="Q488" t="str">
            <v/>
          </cell>
        </row>
        <row r="489">
          <cell r="B489">
            <v>0</v>
          </cell>
          <cell r="I489">
            <v>0</v>
          </cell>
          <cell r="J489">
            <v>0</v>
          </cell>
          <cell r="L489">
            <v>0</v>
          </cell>
          <cell r="Q489" t="str">
            <v/>
          </cell>
        </row>
        <row r="490">
          <cell r="B490">
            <v>0</v>
          </cell>
          <cell r="I490">
            <v>0</v>
          </cell>
          <cell r="J490">
            <v>0</v>
          </cell>
          <cell r="L490">
            <v>0</v>
          </cell>
          <cell r="Q490" t="str">
            <v/>
          </cell>
        </row>
        <row r="491">
          <cell r="B491">
            <v>0</v>
          </cell>
          <cell r="I491">
            <v>0</v>
          </cell>
          <cell r="J491">
            <v>0</v>
          </cell>
          <cell r="L491">
            <v>0</v>
          </cell>
          <cell r="Q491" t="str">
            <v/>
          </cell>
        </row>
        <row r="492">
          <cell r="B492">
            <v>0</v>
          </cell>
          <cell r="I492">
            <v>0</v>
          </cell>
          <cell r="J492">
            <v>0</v>
          </cell>
          <cell r="L492">
            <v>0</v>
          </cell>
          <cell r="Q492" t="str">
            <v/>
          </cell>
        </row>
        <row r="493">
          <cell r="B493">
            <v>0</v>
          </cell>
          <cell r="I493">
            <v>0</v>
          </cell>
          <cell r="J493">
            <v>0</v>
          </cell>
          <cell r="L493">
            <v>0</v>
          </cell>
          <cell r="Q493" t="str">
            <v/>
          </cell>
        </row>
        <row r="494">
          <cell r="B494">
            <v>0</v>
          </cell>
          <cell r="I494">
            <v>0</v>
          </cell>
          <cell r="J494">
            <v>0</v>
          </cell>
          <cell r="L494">
            <v>0</v>
          </cell>
          <cell r="Q494" t="str">
            <v/>
          </cell>
        </row>
        <row r="495">
          <cell r="B495">
            <v>0</v>
          </cell>
          <cell r="I495">
            <v>0</v>
          </cell>
          <cell r="J495">
            <v>0</v>
          </cell>
          <cell r="L495">
            <v>0</v>
          </cell>
          <cell r="Q495" t="str">
            <v/>
          </cell>
        </row>
        <row r="496">
          <cell r="B496">
            <v>0</v>
          </cell>
          <cell r="I496">
            <v>0</v>
          </cell>
          <cell r="J496">
            <v>0</v>
          </cell>
          <cell r="L496">
            <v>0</v>
          </cell>
          <cell r="Q496" t="str">
            <v/>
          </cell>
        </row>
        <row r="497">
          <cell r="B497">
            <v>0</v>
          </cell>
          <cell r="I497">
            <v>0</v>
          </cell>
          <cell r="J497">
            <v>0</v>
          </cell>
          <cell r="L497">
            <v>0</v>
          </cell>
          <cell r="Q497" t="str">
            <v/>
          </cell>
        </row>
        <row r="498">
          <cell r="B498">
            <v>0</v>
          </cell>
          <cell r="I498">
            <v>0</v>
          </cell>
          <cell r="J498">
            <v>0</v>
          </cell>
          <cell r="L498">
            <v>0</v>
          </cell>
          <cell r="Q498" t="str">
            <v/>
          </cell>
        </row>
        <row r="499">
          <cell r="B499">
            <v>0</v>
          </cell>
          <cell r="I499">
            <v>0</v>
          </cell>
          <cell r="J499">
            <v>0</v>
          </cell>
          <cell r="L499">
            <v>0</v>
          </cell>
          <cell r="Q499" t="str">
            <v/>
          </cell>
        </row>
        <row r="500">
          <cell r="B500">
            <v>0</v>
          </cell>
          <cell r="I500">
            <v>0</v>
          </cell>
          <cell r="J500">
            <v>0</v>
          </cell>
          <cell r="L500">
            <v>0</v>
          </cell>
          <cell r="Q500" t="str">
            <v/>
          </cell>
        </row>
        <row r="501">
          <cell r="B501">
            <v>0</v>
          </cell>
          <cell r="I501">
            <v>0</v>
          </cell>
          <cell r="J501">
            <v>0</v>
          </cell>
          <cell r="L501">
            <v>0</v>
          </cell>
          <cell r="Q501" t="str">
            <v/>
          </cell>
        </row>
        <row r="502">
          <cell r="B502">
            <v>0</v>
          </cell>
          <cell r="I502">
            <v>0</v>
          </cell>
          <cell r="J502">
            <v>0</v>
          </cell>
          <cell r="L502">
            <v>0</v>
          </cell>
          <cell r="Q502" t="str">
            <v/>
          </cell>
        </row>
        <row r="503">
          <cell r="B503">
            <v>0</v>
          </cell>
          <cell r="I503">
            <v>0</v>
          </cell>
          <cell r="J503">
            <v>0</v>
          </cell>
          <cell r="L503">
            <v>0</v>
          </cell>
          <cell r="Q503" t="str">
            <v/>
          </cell>
        </row>
        <row r="504">
          <cell r="B504">
            <v>0</v>
          </cell>
          <cell r="I504">
            <v>0</v>
          </cell>
          <cell r="J504">
            <v>0</v>
          </cell>
          <cell r="L504">
            <v>0</v>
          </cell>
          <cell r="Q504" t="str">
            <v/>
          </cell>
        </row>
        <row r="505">
          <cell r="B505">
            <v>0</v>
          </cell>
          <cell r="I505">
            <v>0</v>
          </cell>
          <cell r="J505">
            <v>0</v>
          </cell>
          <cell r="L505">
            <v>0</v>
          </cell>
          <cell r="Q505" t="str">
            <v/>
          </cell>
        </row>
        <row r="506">
          <cell r="B506">
            <v>0</v>
          </cell>
          <cell r="I506">
            <v>0</v>
          </cell>
          <cell r="J506">
            <v>0</v>
          </cell>
          <cell r="L506">
            <v>0</v>
          </cell>
          <cell r="Q506" t="str">
            <v/>
          </cell>
        </row>
        <row r="507">
          <cell r="B507">
            <v>0</v>
          </cell>
          <cell r="I507">
            <v>0</v>
          </cell>
          <cell r="J507">
            <v>0</v>
          </cell>
          <cell r="L507">
            <v>0</v>
          </cell>
          <cell r="Q507" t="str">
            <v/>
          </cell>
        </row>
        <row r="508">
          <cell r="B508">
            <v>0</v>
          </cell>
          <cell r="I508">
            <v>0</v>
          </cell>
          <cell r="J508">
            <v>0</v>
          </cell>
          <cell r="L508">
            <v>0</v>
          </cell>
          <cell r="Q508" t="str">
            <v/>
          </cell>
        </row>
        <row r="509">
          <cell r="B509">
            <v>0</v>
          </cell>
          <cell r="I509">
            <v>0</v>
          </cell>
          <cell r="J509">
            <v>0</v>
          </cell>
          <cell r="L509">
            <v>0</v>
          </cell>
          <cell r="Q509" t="str">
            <v/>
          </cell>
        </row>
        <row r="510">
          <cell r="B510">
            <v>0</v>
          </cell>
          <cell r="I510">
            <v>0</v>
          </cell>
          <cell r="J510">
            <v>0</v>
          </cell>
          <cell r="L510">
            <v>0</v>
          </cell>
          <cell r="Q510" t="str">
            <v/>
          </cell>
        </row>
        <row r="511">
          <cell r="B511">
            <v>0</v>
          </cell>
          <cell r="I511">
            <v>0</v>
          </cell>
          <cell r="J511">
            <v>0</v>
          </cell>
          <cell r="L511">
            <v>0</v>
          </cell>
          <cell r="Q511" t="str">
            <v/>
          </cell>
        </row>
        <row r="512">
          <cell r="B512">
            <v>0</v>
          </cell>
          <cell r="I512">
            <v>0</v>
          </cell>
          <cell r="J512">
            <v>0</v>
          </cell>
          <cell r="L512">
            <v>0</v>
          </cell>
          <cell r="Q512" t="str">
            <v/>
          </cell>
        </row>
        <row r="513">
          <cell r="B513">
            <v>0</v>
          </cell>
          <cell r="I513">
            <v>0</v>
          </cell>
          <cell r="J513">
            <v>0</v>
          </cell>
          <cell r="L513">
            <v>0</v>
          </cell>
          <cell r="Q513" t="str">
            <v/>
          </cell>
        </row>
        <row r="514">
          <cell r="B514">
            <v>0</v>
          </cell>
          <cell r="I514">
            <v>0</v>
          </cell>
          <cell r="J514">
            <v>0</v>
          </cell>
          <cell r="L514">
            <v>0</v>
          </cell>
          <cell r="Q514" t="str">
            <v/>
          </cell>
        </row>
        <row r="515">
          <cell r="B515">
            <v>0</v>
          </cell>
          <cell r="I515">
            <v>0</v>
          </cell>
          <cell r="J515">
            <v>0</v>
          </cell>
          <cell r="L515">
            <v>0</v>
          </cell>
          <cell r="Q515" t="str">
            <v/>
          </cell>
        </row>
        <row r="516">
          <cell r="B516">
            <v>0</v>
          </cell>
          <cell r="I516">
            <v>0</v>
          </cell>
          <cell r="J516">
            <v>0</v>
          </cell>
          <cell r="L516">
            <v>0</v>
          </cell>
          <cell r="Q516" t="str">
            <v/>
          </cell>
        </row>
        <row r="517">
          <cell r="B517">
            <v>0</v>
          </cell>
          <cell r="I517">
            <v>0</v>
          </cell>
          <cell r="J517">
            <v>0</v>
          </cell>
          <cell r="L517">
            <v>0</v>
          </cell>
          <cell r="Q517" t="str">
            <v/>
          </cell>
        </row>
        <row r="518">
          <cell r="B518">
            <v>0</v>
          </cell>
          <cell r="I518">
            <v>0</v>
          </cell>
          <cell r="J518">
            <v>0</v>
          </cell>
          <cell r="L518">
            <v>0</v>
          </cell>
          <cell r="Q518" t="str">
            <v/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ство"/>
      <sheetName val="Расчет населения"/>
      <sheetName val="Население"/>
      <sheetName val="Статистика"/>
      <sheetName val="Перспективное строительство"/>
      <sheetName val="Спрос ОДЗ и ПРОМ"/>
      <sheetName val="Спрос"/>
      <sheetName val="ЦП"/>
      <sheetName val="Перечень инв.проектов ВС"/>
      <sheetName val="Перечень инв.проектов ВО"/>
      <sheetName val="старое тс"/>
      <sheetName val="Перечень инв.проектов ТС"/>
      <sheetName val="Перечень инв.проектов ЭЭ"/>
      <sheetName val="Перечень инв.проектов ГС"/>
      <sheetName val="Перечень инв.проектов ТКО"/>
      <sheetName val="Фин.потребности"/>
      <sheetName val="Программа инв. проектов"/>
      <sheetName val="Доступность"/>
      <sheetName val="Амортизация"/>
    </sheetNames>
    <sheetDataSet>
      <sheetData sheetId="0">
        <row r="30">
          <cell r="B30">
            <v>1</v>
          </cell>
        </row>
        <row r="31">
          <cell r="B31">
            <v>2</v>
          </cell>
        </row>
        <row r="32">
          <cell r="B32">
            <v>3</v>
          </cell>
        </row>
        <row r="33">
          <cell r="B33">
            <v>4</v>
          </cell>
        </row>
        <row r="34">
          <cell r="B34">
            <v>5</v>
          </cell>
        </row>
        <row r="35">
          <cell r="B35">
            <v>6</v>
          </cell>
        </row>
        <row r="36">
          <cell r="B36">
            <v>7</v>
          </cell>
        </row>
        <row r="37">
          <cell r="B37">
            <v>8</v>
          </cell>
        </row>
        <row r="38">
          <cell r="B38">
            <v>9</v>
          </cell>
        </row>
        <row r="39">
          <cell r="B39">
            <v>10</v>
          </cell>
        </row>
        <row r="40">
          <cell r="B40">
            <v>11</v>
          </cell>
        </row>
        <row r="41">
          <cell r="B41">
            <v>12</v>
          </cell>
        </row>
        <row r="42">
          <cell r="B42">
            <v>13</v>
          </cell>
        </row>
        <row r="43">
          <cell r="B43">
            <v>14</v>
          </cell>
        </row>
        <row r="44">
          <cell r="B44">
            <v>15</v>
          </cell>
        </row>
        <row r="45">
          <cell r="B45">
            <v>16</v>
          </cell>
        </row>
        <row r="46">
          <cell r="B46">
            <v>17</v>
          </cell>
        </row>
        <row r="47">
          <cell r="B47">
            <v>18</v>
          </cell>
        </row>
        <row r="48">
          <cell r="B48">
            <v>19</v>
          </cell>
        </row>
        <row r="49">
          <cell r="B49" t="str">
            <v>МУП города Хабаровска "Водоканал"</v>
          </cell>
        </row>
        <row r="50">
          <cell r="B50">
            <v>21</v>
          </cell>
        </row>
        <row r="51">
          <cell r="B51">
            <v>22</v>
          </cell>
        </row>
        <row r="52">
          <cell r="B52">
            <v>23</v>
          </cell>
        </row>
        <row r="53">
          <cell r="B53">
            <v>24</v>
          </cell>
        </row>
        <row r="54">
          <cell r="B54">
            <v>25</v>
          </cell>
        </row>
        <row r="55">
          <cell r="B55">
            <v>26</v>
          </cell>
        </row>
        <row r="56">
          <cell r="B56">
            <v>27</v>
          </cell>
        </row>
        <row r="57">
          <cell r="B57">
            <v>28</v>
          </cell>
        </row>
        <row r="58">
          <cell r="B58">
            <v>29</v>
          </cell>
        </row>
        <row r="59">
          <cell r="B59">
            <v>30</v>
          </cell>
        </row>
        <row r="60">
          <cell r="B60">
            <v>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N3">
            <v>2021</v>
          </cell>
        </row>
      </sheetData>
      <sheetData sheetId="11"/>
      <sheetData sheetId="12"/>
      <sheetData sheetId="13"/>
      <sheetData sheetId="14"/>
      <sheetData sheetId="15">
        <row r="151">
          <cell r="D151" t="str">
            <v>бюджеты различных уровней</v>
          </cell>
        </row>
        <row r="152">
          <cell r="D152" t="str">
            <v>источник не определен</v>
          </cell>
        </row>
        <row r="153">
          <cell r="D153" t="str">
            <v>плата за подключение</v>
          </cell>
        </row>
        <row r="154">
          <cell r="D154" t="str">
            <v>собственные/кредитные средства</v>
          </cell>
        </row>
      </sheetData>
      <sheetData sheetId="16">
        <row r="434">
          <cell r="B434" t="str">
            <v>Присоединение новых потребителей</v>
          </cell>
        </row>
        <row r="435">
          <cell r="B435" t="str">
            <v>Повышение качества и надежности предоставления коммунальной услуги</v>
          </cell>
        </row>
        <row r="436">
          <cell r="B436" t="str">
            <v>Энергосбережение и повышение энергетической эффективности</v>
          </cell>
        </row>
        <row r="437">
          <cell r="B437" t="str">
            <v>Улучшение экологической ситуации</v>
          </cell>
        </row>
        <row r="438">
          <cell r="B438" t="str">
            <v>Повышение безопасности и улучшение производственных условий</v>
          </cell>
        </row>
        <row r="439">
          <cell r="B439" t="str">
            <v>Газоснабжение и газификация новых территорий</v>
          </cell>
        </row>
        <row r="441">
          <cell r="B441" t="str">
            <v>Быстроокупаемый проект</v>
          </cell>
        </row>
        <row r="442">
          <cell r="B442" t="str">
            <v>Среднеокупаемый проект</v>
          </cell>
        </row>
        <row r="443">
          <cell r="B443" t="str">
            <v>Долгоокупаемый проект</v>
          </cell>
        </row>
      </sheetData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ство"/>
      <sheetName val="Население"/>
      <sheetName val="Расчет населения"/>
      <sheetName val="Статистика"/>
      <sheetName val="Преспективное строительство"/>
      <sheetName val="Спрос ОДЗ и ПРОМ"/>
      <sheetName val="Преспективное строительство ста"/>
      <sheetName val="Спрос"/>
      <sheetName val="ЦП"/>
      <sheetName val="Перечень инв.проектов ВС"/>
      <sheetName val="Перечень инв.проектов ВО"/>
      <sheetName val="Перечень инв.проектов ТС"/>
      <sheetName val="Перечень инв.проектов ЭЭ"/>
      <sheetName val="Перечень инв.проектов ГС"/>
      <sheetName val="Перечень инв.проектов ТКО"/>
      <sheetName val="Фин.потребности"/>
      <sheetName val="Программа инв. проектов"/>
      <sheetName val="Доступность"/>
      <sheetName val="Амортизац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  <sheetName val="Стоимость"/>
      <sheetName val="МероприятияВС"/>
      <sheetName val="Баланс ВС"/>
      <sheetName val="МероприятияВО"/>
      <sheetName val="Баланс ВО"/>
      <sheetName val="ЭЭ"/>
      <sheetName val="ВЗУ"/>
      <sheetName val="Служебная"/>
      <sheetName val="Баланс (факт)"/>
      <sheetName val="Аварийность"/>
      <sheetName val="ВНБ"/>
      <sheetName val="Сети ВС"/>
      <sheetName val="Сети ВО"/>
      <sheetName val="ВОС"/>
      <sheetName val="ПНС"/>
      <sheetName val="КНС"/>
      <sheetName val="ОСК Боровский филиал"/>
      <sheetName val="ОСК Центральный филиал"/>
      <sheetName val="ОСК Людиновский филиал"/>
      <sheetName val="ОСК Дзержинский филиал"/>
      <sheetName val="ОСК Сухинический филиал"/>
      <sheetName val="ОСК Юхновский филиал"/>
      <sheetName val="СП"/>
      <sheetName val="НП"/>
      <sheetName val="Численность"/>
      <sheetName val="EXCEL2.RU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F3">
            <v>0.15887500000000002</v>
          </cell>
          <cell r="G3">
            <v>69.703000000000003</v>
          </cell>
        </row>
        <row r="4">
          <cell r="F4">
            <v>0.14092105263157895</v>
          </cell>
          <cell r="G4">
            <v>41.152000000000001</v>
          </cell>
        </row>
        <row r="5">
          <cell r="F5">
            <v>0.14092105263157895</v>
          </cell>
          <cell r="G5">
            <v>13.37</v>
          </cell>
        </row>
        <row r="6">
          <cell r="F6">
            <v>0.14092105263157895</v>
          </cell>
          <cell r="G6">
            <v>91.2</v>
          </cell>
        </row>
        <row r="7">
          <cell r="F7">
            <v>9.4199999999999992E-2</v>
          </cell>
          <cell r="G7">
            <v>6.8079999999999998</v>
          </cell>
        </row>
        <row r="8">
          <cell r="F8">
            <v>7.0000000000000007E-2</v>
          </cell>
          <cell r="G8">
            <v>2.637</v>
          </cell>
        </row>
        <row r="9">
          <cell r="F9">
            <v>9.420000000000002E-2</v>
          </cell>
          <cell r="G9">
            <v>3.3559999999999999</v>
          </cell>
        </row>
        <row r="10">
          <cell r="F10">
            <v>7.0000000000000007E-2</v>
          </cell>
          <cell r="G10">
            <v>1.3089999999999999</v>
          </cell>
        </row>
        <row r="11">
          <cell r="F11">
            <v>7.0000000000000007E-2</v>
          </cell>
          <cell r="G11">
            <v>1.087</v>
          </cell>
        </row>
        <row r="12">
          <cell r="F12">
            <v>9.4200000000000006E-2</v>
          </cell>
          <cell r="G12">
            <v>6.9580000000000002</v>
          </cell>
        </row>
        <row r="13">
          <cell r="F13">
            <v>0</v>
          </cell>
          <cell r="G13">
            <v>0</v>
          </cell>
        </row>
        <row r="14">
          <cell r="F14">
            <v>9.4200000000000006E-2</v>
          </cell>
          <cell r="G14">
            <v>6.782</v>
          </cell>
        </row>
        <row r="15">
          <cell r="F15">
            <v>0</v>
          </cell>
          <cell r="G15">
            <v>0</v>
          </cell>
        </row>
        <row r="16">
          <cell r="F16">
            <v>7.0000000000000007E-2</v>
          </cell>
          <cell r="G16">
            <v>2.238</v>
          </cell>
        </row>
        <row r="17">
          <cell r="F17">
            <v>0</v>
          </cell>
          <cell r="G17">
            <v>0</v>
          </cell>
        </row>
        <row r="18">
          <cell r="F18">
            <v>6.9999999999999993E-2</v>
          </cell>
          <cell r="G18">
            <v>1.391</v>
          </cell>
        </row>
        <row r="19">
          <cell r="F19">
            <v>9.4200000000000006E-2</v>
          </cell>
          <cell r="G19">
            <v>2.6509999999999998</v>
          </cell>
        </row>
        <row r="20">
          <cell r="F20">
            <v>9.4200000000000006E-2</v>
          </cell>
          <cell r="G20">
            <v>5.9029999999999996</v>
          </cell>
        </row>
        <row r="21">
          <cell r="F21">
            <v>6.9999999999999993E-2</v>
          </cell>
          <cell r="G21">
            <v>0.60399999999999998</v>
          </cell>
        </row>
        <row r="22">
          <cell r="F22">
            <v>7.0000000000000007E-2</v>
          </cell>
          <cell r="G22">
            <v>10.891</v>
          </cell>
        </row>
        <row r="23">
          <cell r="F23">
            <v>0</v>
          </cell>
          <cell r="G23">
            <v>0</v>
          </cell>
        </row>
        <row r="24">
          <cell r="F24">
            <v>0</v>
          </cell>
          <cell r="G24">
            <v>0</v>
          </cell>
        </row>
        <row r="25">
          <cell r="F25">
            <v>0</v>
          </cell>
          <cell r="G25">
            <v>0</v>
          </cell>
        </row>
        <row r="26">
          <cell r="F26">
            <v>9.4199999999999992E-2</v>
          </cell>
          <cell r="G26">
            <v>4.9390000000000001</v>
          </cell>
        </row>
        <row r="27">
          <cell r="F27">
            <v>9.4199999999999992E-2</v>
          </cell>
          <cell r="G27">
            <v>2.6539999999999999</v>
          </cell>
        </row>
        <row r="28">
          <cell r="F28">
            <v>9.4199999999999992E-2</v>
          </cell>
          <cell r="G28">
            <v>4.6890000000000001</v>
          </cell>
        </row>
        <row r="29">
          <cell r="F29">
            <v>7.0000000000000007E-2</v>
          </cell>
          <cell r="G29">
            <v>1.554</v>
          </cell>
        </row>
        <row r="30">
          <cell r="F30">
            <v>0.14092105263157897</v>
          </cell>
          <cell r="G30">
            <v>27.934999999999999</v>
          </cell>
        </row>
        <row r="31">
          <cell r="F31">
            <v>0.12220588235294119</v>
          </cell>
          <cell r="G31">
            <v>6.2360000000000007</v>
          </cell>
        </row>
        <row r="32">
          <cell r="F32">
            <v>9.4199999999999992E-2</v>
          </cell>
          <cell r="G32">
            <v>2.1059999999999999</v>
          </cell>
        </row>
        <row r="33">
          <cell r="F33">
            <v>7.0000000000000021E-2</v>
          </cell>
          <cell r="G33">
            <v>1.242</v>
          </cell>
        </row>
        <row r="34">
          <cell r="F34">
            <v>7.0000000000000007E-2</v>
          </cell>
          <cell r="G34">
            <v>4.532</v>
          </cell>
        </row>
        <row r="35">
          <cell r="F35">
            <v>0</v>
          </cell>
          <cell r="G35">
            <v>0</v>
          </cell>
        </row>
        <row r="36">
          <cell r="F36">
            <v>7.0000000000000007E-2</v>
          </cell>
          <cell r="G36">
            <v>4.4359999999999999</v>
          </cell>
        </row>
        <row r="37">
          <cell r="F37">
            <v>0</v>
          </cell>
          <cell r="G37">
            <v>0</v>
          </cell>
        </row>
        <row r="38">
          <cell r="F38">
            <v>9.4200000000000006E-2</v>
          </cell>
          <cell r="G38">
            <v>6.62</v>
          </cell>
        </row>
        <row r="39">
          <cell r="F39">
            <v>0</v>
          </cell>
          <cell r="G39">
            <v>0</v>
          </cell>
        </row>
        <row r="40">
          <cell r="F40">
            <v>7.0000000000000007E-2</v>
          </cell>
          <cell r="G40">
            <v>11.643000000000001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0.12220588235294118</v>
          </cell>
          <cell r="G44">
            <v>28.012</v>
          </cell>
        </row>
        <row r="45">
          <cell r="F45">
            <v>0.12220588235294118</v>
          </cell>
          <cell r="G45">
            <v>9.2850000000000001</v>
          </cell>
        </row>
        <row r="46">
          <cell r="F46">
            <v>9.420000000000002E-2</v>
          </cell>
          <cell r="G46">
            <v>1.905</v>
          </cell>
        </row>
        <row r="47">
          <cell r="F47">
            <v>7.0000000000000007E-2</v>
          </cell>
          <cell r="G47">
            <v>3.1589999999999998</v>
          </cell>
        </row>
        <row r="48">
          <cell r="F48">
            <v>9.4200000000000006E-2</v>
          </cell>
          <cell r="G48">
            <v>6.7380000000000004</v>
          </cell>
        </row>
        <row r="49">
          <cell r="F49">
            <v>9.4200000000000006E-2</v>
          </cell>
          <cell r="G49">
            <v>6.3959999999999999</v>
          </cell>
        </row>
        <row r="50">
          <cell r="F50">
            <v>7.0000000000000007E-2</v>
          </cell>
          <cell r="G50">
            <v>0.79500000000000004</v>
          </cell>
        </row>
        <row r="51">
          <cell r="F51">
            <v>6.9999999999999993E-2</v>
          </cell>
          <cell r="G51">
            <v>1.4350000000000001</v>
          </cell>
        </row>
        <row r="52">
          <cell r="F52">
            <v>7.0000000000000007E-2</v>
          </cell>
          <cell r="G52">
            <v>1.4610000000000001</v>
          </cell>
        </row>
        <row r="53">
          <cell r="F53">
            <v>0.14092105263157897</v>
          </cell>
          <cell r="G53">
            <v>33.799999999999997</v>
          </cell>
        </row>
        <row r="54">
          <cell r="F54">
            <v>0.12220588235294119</v>
          </cell>
          <cell r="G54">
            <v>11.613</v>
          </cell>
        </row>
        <row r="55">
          <cell r="F55">
            <v>7.0000000000000007E-2</v>
          </cell>
          <cell r="G55">
            <v>5.2850000000000001</v>
          </cell>
        </row>
        <row r="56">
          <cell r="F56">
            <v>0</v>
          </cell>
          <cell r="G56">
            <v>0</v>
          </cell>
        </row>
        <row r="57">
          <cell r="F57">
            <v>9.4199999999999992E-2</v>
          </cell>
          <cell r="G57">
            <v>3.7570000000000001</v>
          </cell>
        </row>
        <row r="58">
          <cell r="F58">
            <v>0.14092105263157897</v>
          </cell>
          <cell r="G58">
            <v>28.45</v>
          </cell>
        </row>
        <row r="59">
          <cell r="F59">
            <v>9.420000000000002E-2</v>
          </cell>
          <cell r="G59">
            <v>5.56</v>
          </cell>
        </row>
        <row r="60">
          <cell r="F60">
            <v>9.4200000000000006E-2</v>
          </cell>
          <cell r="G60">
            <v>0.82399999999999995</v>
          </cell>
        </row>
        <row r="61">
          <cell r="F61">
            <v>9.4199999999999992E-2</v>
          </cell>
          <cell r="G61">
            <v>2.7839999999999998</v>
          </cell>
        </row>
        <row r="62">
          <cell r="F62">
            <v>9.4200000000000006E-2</v>
          </cell>
          <cell r="G62">
            <v>1.4</v>
          </cell>
        </row>
        <row r="63">
          <cell r="F63">
            <v>9.4199999999999992E-2</v>
          </cell>
          <cell r="G63">
            <v>4.048</v>
          </cell>
        </row>
        <row r="64">
          <cell r="F64">
            <v>9.4199999999999992E-2</v>
          </cell>
          <cell r="G64">
            <v>3.2749999999999999</v>
          </cell>
        </row>
        <row r="65">
          <cell r="F65">
            <v>0.14092105263157892</v>
          </cell>
          <cell r="G65">
            <v>3.8329999999999997</v>
          </cell>
        </row>
        <row r="66">
          <cell r="F66">
            <v>0.15887500000000002</v>
          </cell>
          <cell r="G66">
            <v>86.6</v>
          </cell>
        </row>
        <row r="67">
          <cell r="F67">
            <v>0.12220588235294118</v>
          </cell>
          <cell r="G67">
            <v>28.042999999999999</v>
          </cell>
        </row>
        <row r="68">
          <cell r="F68">
            <v>0.14092105263157897</v>
          </cell>
          <cell r="G68">
            <v>33.878999999999998</v>
          </cell>
        </row>
        <row r="69">
          <cell r="F69">
            <v>0.12220588235294118</v>
          </cell>
          <cell r="G69">
            <v>1.7800000000000002</v>
          </cell>
        </row>
        <row r="70">
          <cell r="F70">
            <v>0.12220588235294118</v>
          </cell>
          <cell r="G70">
            <v>2.4</v>
          </cell>
        </row>
        <row r="71">
          <cell r="F71">
            <v>9.4200000000000006E-2</v>
          </cell>
          <cell r="G71">
            <v>4.492</v>
          </cell>
        </row>
        <row r="72">
          <cell r="F72">
            <v>0.14092105263157897</v>
          </cell>
          <cell r="G72">
            <v>1.4729999999999999</v>
          </cell>
        </row>
        <row r="73">
          <cell r="F73">
            <v>9.420000000000002E-2</v>
          </cell>
          <cell r="G73">
            <v>3.351</v>
          </cell>
        </row>
        <row r="74">
          <cell r="F74">
            <v>0.15887500000000004</v>
          </cell>
          <cell r="G74">
            <v>2.3519999999999999</v>
          </cell>
        </row>
        <row r="75">
          <cell r="F75">
            <v>9.4199999999999992E-2</v>
          </cell>
          <cell r="G75">
            <v>6.0220000000000002</v>
          </cell>
        </row>
        <row r="76">
          <cell r="F76">
            <v>9.4200000000000006E-2</v>
          </cell>
          <cell r="G76">
            <v>3.746</v>
          </cell>
        </row>
        <row r="77">
          <cell r="F77">
            <v>7.0000000000000021E-2</v>
          </cell>
          <cell r="G77">
            <v>2.1349999999999998</v>
          </cell>
        </row>
        <row r="78">
          <cell r="F78">
            <v>9.4200000000000006E-2</v>
          </cell>
          <cell r="G78">
            <v>1.5620000000000001</v>
          </cell>
        </row>
        <row r="79">
          <cell r="F79">
            <v>9.4200000000000006E-2</v>
          </cell>
          <cell r="G79">
            <v>3.4020000000000001</v>
          </cell>
        </row>
        <row r="80">
          <cell r="F80">
            <v>9.4200000000000006E-2</v>
          </cell>
          <cell r="G80">
            <v>1.9670000000000001</v>
          </cell>
        </row>
        <row r="81">
          <cell r="F81">
            <v>7.0000000000000007E-2</v>
          </cell>
          <cell r="G81">
            <v>1.512</v>
          </cell>
        </row>
        <row r="82">
          <cell r="F82">
            <v>9.4200000000000006E-2</v>
          </cell>
          <cell r="G82">
            <v>3.5339999999999998</v>
          </cell>
        </row>
        <row r="83">
          <cell r="F83">
            <v>9.4200000000000006E-2</v>
          </cell>
          <cell r="G83">
            <v>2</v>
          </cell>
        </row>
        <row r="84">
          <cell r="F84">
            <v>9.4199999999999992E-2</v>
          </cell>
          <cell r="G84">
            <v>9.73</v>
          </cell>
        </row>
        <row r="85">
          <cell r="F85">
            <v>7.0000000000000007E-2</v>
          </cell>
          <cell r="G85">
            <v>5.5990000000000002</v>
          </cell>
        </row>
        <row r="86">
          <cell r="F86">
            <v>0</v>
          </cell>
          <cell r="G86">
            <v>0</v>
          </cell>
        </row>
        <row r="87">
          <cell r="F87">
            <v>0.12220588235294116</v>
          </cell>
          <cell r="G87">
            <v>6.7830000000000004</v>
          </cell>
        </row>
        <row r="88">
          <cell r="F88">
            <v>9.4199999999999992E-2</v>
          </cell>
          <cell r="G88">
            <v>4.8650000000000002</v>
          </cell>
        </row>
        <row r="89">
          <cell r="F89">
            <v>7.0000000000000007E-2</v>
          </cell>
          <cell r="G89">
            <v>2.165</v>
          </cell>
        </row>
        <row r="90">
          <cell r="F90">
            <v>9.420000000000002E-2</v>
          </cell>
          <cell r="G90">
            <v>6.4779999999999998</v>
          </cell>
        </row>
        <row r="91">
          <cell r="F91">
            <v>7.0000000000000021E-2</v>
          </cell>
          <cell r="G91">
            <v>1.4</v>
          </cell>
        </row>
        <row r="92">
          <cell r="F92">
            <v>0.14092105263157897</v>
          </cell>
          <cell r="G92">
            <v>30.385200000000001</v>
          </cell>
        </row>
        <row r="93">
          <cell r="F93">
            <v>9.420000000000002E-2</v>
          </cell>
          <cell r="G93">
            <v>5.31</v>
          </cell>
        </row>
        <row r="94">
          <cell r="F94">
            <v>0</v>
          </cell>
          <cell r="G94">
            <v>0</v>
          </cell>
        </row>
        <row r="95">
          <cell r="F95">
            <v>9.420000000000002E-2</v>
          </cell>
          <cell r="G95">
            <v>2.722</v>
          </cell>
        </row>
        <row r="96">
          <cell r="F96">
            <v>9.4200000000000006E-2</v>
          </cell>
          <cell r="G96">
            <v>7.14</v>
          </cell>
        </row>
        <row r="97">
          <cell r="F97">
            <v>0</v>
          </cell>
          <cell r="G97">
            <v>0</v>
          </cell>
        </row>
        <row r="98">
          <cell r="F98">
            <v>9.4199999999999992E-2</v>
          </cell>
          <cell r="G98">
            <v>1.8660000000000001</v>
          </cell>
        </row>
        <row r="99">
          <cell r="F99">
            <v>0</v>
          </cell>
          <cell r="G99">
            <v>0</v>
          </cell>
        </row>
        <row r="100">
          <cell r="F100">
            <v>7.0000000000000007E-2</v>
          </cell>
          <cell r="G100">
            <v>0.188</v>
          </cell>
        </row>
        <row r="101">
          <cell r="F101">
            <v>9.4200000000000006E-2</v>
          </cell>
          <cell r="G101">
            <v>3.65</v>
          </cell>
        </row>
        <row r="102">
          <cell r="F102">
            <v>9.4199999999999992E-2</v>
          </cell>
          <cell r="G102">
            <v>5.65</v>
          </cell>
        </row>
        <row r="103">
          <cell r="F103">
            <v>0</v>
          </cell>
          <cell r="G103">
            <v>0</v>
          </cell>
        </row>
        <row r="104">
          <cell r="F104">
            <v>7.0000000000000007E-2</v>
          </cell>
          <cell r="G104">
            <v>1.7270000000000001</v>
          </cell>
        </row>
        <row r="105">
          <cell r="F105">
            <v>9.420000000000002E-2</v>
          </cell>
          <cell r="G105">
            <v>5.2279999999999998</v>
          </cell>
        </row>
        <row r="106">
          <cell r="F106">
            <v>7.0000000000000007E-2</v>
          </cell>
          <cell r="G106">
            <v>1.014</v>
          </cell>
        </row>
        <row r="107">
          <cell r="F107">
            <v>9.4199999999999992E-2</v>
          </cell>
          <cell r="G107">
            <v>5.1230000000000002</v>
          </cell>
        </row>
        <row r="108">
          <cell r="F108">
            <v>9.4200000000000006E-2</v>
          </cell>
          <cell r="G108">
            <v>1.579</v>
          </cell>
        </row>
        <row r="109">
          <cell r="F109">
            <v>0.15887499999999999</v>
          </cell>
          <cell r="G109">
            <v>4.3804000000000007</v>
          </cell>
        </row>
        <row r="110">
          <cell r="F110">
            <v>9.4200000000000006E-2</v>
          </cell>
          <cell r="G110">
            <v>2.2050000000000001</v>
          </cell>
        </row>
        <row r="111">
          <cell r="F111">
            <v>9.4200000000000006E-2</v>
          </cell>
          <cell r="G111">
            <v>6.1509999999999998</v>
          </cell>
        </row>
        <row r="112">
          <cell r="F112">
            <v>7.0000000000000007E-2</v>
          </cell>
          <cell r="G112">
            <v>2.4279999999999999</v>
          </cell>
        </row>
        <row r="113">
          <cell r="F113">
            <v>7.0000000000000007E-2</v>
          </cell>
          <cell r="G113">
            <v>0.56699999999999995</v>
          </cell>
        </row>
        <row r="114">
          <cell r="F114">
            <v>9.4199999999999992E-2</v>
          </cell>
          <cell r="G114">
            <v>3.97</v>
          </cell>
        </row>
        <row r="115">
          <cell r="F115">
            <v>0</v>
          </cell>
          <cell r="G115">
            <v>0</v>
          </cell>
        </row>
        <row r="116">
          <cell r="F116">
            <v>9.4199999999999992E-2</v>
          </cell>
          <cell r="G116">
            <v>1.6</v>
          </cell>
        </row>
        <row r="117">
          <cell r="F117">
            <v>9.4200000000000006E-2</v>
          </cell>
          <cell r="G117">
            <v>3.7130000000000001</v>
          </cell>
        </row>
        <row r="118">
          <cell r="F118">
            <v>9.420000000000002E-2</v>
          </cell>
          <cell r="G118">
            <v>6.1109999999999998</v>
          </cell>
        </row>
        <row r="119">
          <cell r="F119">
            <v>9.4200000000000006E-2</v>
          </cell>
          <cell r="G119">
            <v>1.601</v>
          </cell>
        </row>
        <row r="120">
          <cell r="F120">
            <v>9.4200000000000006E-2</v>
          </cell>
          <cell r="G120">
            <v>1.8129999999999999</v>
          </cell>
        </row>
        <row r="121">
          <cell r="F121">
            <v>9.420000000000002E-2</v>
          </cell>
          <cell r="G121">
            <v>2.3029999999999999</v>
          </cell>
        </row>
        <row r="122">
          <cell r="F122">
            <v>9.4200000000000006E-2</v>
          </cell>
          <cell r="G122">
            <v>3.9350000000000001</v>
          </cell>
        </row>
        <row r="123">
          <cell r="F123">
            <v>0.12220588235294119</v>
          </cell>
          <cell r="G123">
            <v>2.2589999999999999</v>
          </cell>
        </row>
        <row r="124">
          <cell r="F124">
            <v>0.15887499999999996</v>
          </cell>
          <cell r="G124">
            <v>13.172000000000002</v>
          </cell>
        </row>
        <row r="125">
          <cell r="F125">
            <v>0.12220588235294119</v>
          </cell>
          <cell r="G125">
            <v>55.969999999999985</v>
          </cell>
        </row>
        <row r="126">
          <cell r="F126">
            <v>0.12220588235294121</v>
          </cell>
          <cell r="G126">
            <v>20.187999999999999</v>
          </cell>
        </row>
        <row r="127">
          <cell r="F127">
            <v>9.4199999999999992E-2</v>
          </cell>
          <cell r="G127">
            <v>6.4580000000000002</v>
          </cell>
        </row>
        <row r="128">
          <cell r="F128">
            <v>9.420000000000002E-2</v>
          </cell>
          <cell r="G128">
            <v>6.3479999999999999</v>
          </cell>
        </row>
        <row r="129">
          <cell r="F129">
            <v>9.4200000000000006E-2</v>
          </cell>
          <cell r="G129">
            <v>17.23</v>
          </cell>
        </row>
        <row r="130">
          <cell r="F130">
            <v>9.4200000000000006E-2</v>
          </cell>
          <cell r="G130">
            <v>11.308</v>
          </cell>
        </row>
        <row r="131">
          <cell r="F131">
            <v>9.4199999999999992E-2</v>
          </cell>
          <cell r="G131">
            <v>11.3</v>
          </cell>
        </row>
        <row r="132">
          <cell r="F132">
            <v>9.4200000000000006E-2</v>
          </cell>
          <cell r="G132">
            <v>3.1579999999999999</v>
          </cell>
        </row>
        <row r="133">
          <cell r="F133">
            <v>9.4200000000000006E-2</v>
          </cell>
          <cell r="G133">
            <v>6.5869999999999997</v>
          </cell>
        </row>
        <row r="134">
          <cell r="F134">
            <v>9.4200000000000006E-2</v>
          </cell>
          <cell r="G134">
            <v>8.3989999999999991</v>
          </cell>
        </row>
        <row r="135">
          <cell r="F135">
            <v>9.4200000000000006E-2</v>
          </cell>
          <cell r="G135">
            <v>7.8970000000000002</v>
          </cell>
        </row>
        <row r="136">
          <cell r="F136">
            <v>9.4200000000000006E-2</v>
          </cell>
          <cell r="G136">
            <v>5.6079999999999997</v>
          </cell>
        </row>
        <row r="137">
          <cell r="F137">
            <v>9.4200000000000006E-2</v>
          </cell>
          <cell r="G137">
            <v>5.87</v>
          </cell>
        </row>
        <row r="138">
          <cell r="F138">
            <v>0</v>
          </cell>
          <cell r="G138">
            <v>0</v>
          </cell>
        </row>
        <row r="139">
          <cell r="F139">
            <v>9.4200000000000006E-2</v>
          </cell>
          <cell r="G139">
            <v>8.8230000000000004</v>
          </cell>
        </row>
        <row r="140">
          <cell r="F140">
            <v>7.0000000000000007E-2</v>
          </cell>
          <cell r="G140">
            <v>1.6</v>
          </cell>
        </row>
        <row r="141">
          <cell r="F141">
            <v>0.12220588235294119</v>
          </cell>
          <cell r="G141">
            <v>26</v>
          </cell>
        </row>
        <row r="142">
          <cell r="F142">
            <v>9.4199999999999992E-2</v>
          </cell>
          <cell r="G142">
            <v>8.8629999999999995</v>
          </cell>
        </row>
        <row r="143">
          <cell r="F143">
            <v>0</v>
          </cell>
          <cell r="G143">
            <v>0</v>
          </cell>
        </row>
        <row r="144">
          <cell r="F144">
            <v>9.4200000000000006E-2</v>
          </cell>
          <cell r="G144">
            <v>3.7</v>
          </cell>
        </row>
        <row r="145">
          <cell r="F145">
            <v>9.420000000000002E-2</v>
          </cell>
          <cell r="G145">
            <v>5.5519999999999996</v>
          </cell>
        </row>
        <row r="146">
          <cell r="F146">
            <v>7.0000000000000007E-2</v>
          </cell>
          <cell r="G146">
            <v>0.67500000000000004</v>
          </cell>
        </row>
        <row r="147">
          <cell r="F147">
            <v>7.0000000000000007E-2</v>
          </cell>
          <cell r="G147">
            <v>1.4339999999999999</v>
          </cell>
        </row>
        <row r="148">
          <cell r="F148">
            <v>7.0000000000000007E-2</v>
          </cell>
          <cell r="G148">
            <v>2.2309999999999999</v>
          </cell>
        </row>
        <row r="149">
          <cell r="F149">
            <v>9.420000000000002E-2</v>
          </cell>
          <cell r="G149">
            <v>3.016</v>
          </cell>
        </row>
        <row r="150">
          <cell r="F150">
            <v>9.4199999999999992E-2</v>
          </cell>
          <cell r="G150">
            <v>10.612</v>
          </cell>
        </row>
        <row r="151">
          <cell r="F151">
            <v>7.0000000000000007E-2</v>
          </cell>
          <cell r="G151">
            <v>2.5230000000000001</v>
          </cell>
        </row>
        <row r="152">
          <cell r="F152">
            <v>9.4199999999999992E-2</v>
          </cell>
          <cell r="G152">
            <v>3.7280000000000002</v>
          </cell>
        </row>
        <row r="153">
          <cell r="F153">
            <v>7.0000000000000007E-2</v>
          </cell>
          <cell r="G153">
            <v>0.76100000000000001</v>
          </cell>
        </row>
        <row r="154">
          <cell r="F154">
            <v>6.9999999999999993E-2</v>
          </cell>
          <cell r="G154">
            <v>5.5460000000000003</v>
          </cell>
        </row>
        <row r="155">
          <cell r="F155">
            <v>0</v>
          </cell>
          <cell r="G155">
            <v>0</v>
          </cell>
        </row>
        <row r="156">
          <cell r="F156">
            <v>0.12220588235294119</v>
          </cell>
          <cell r="G156">
            <v>6.1399999999999988</v>
          </cell>
        </row>
        <row r="157">
          <cell r="F157">
            <v>7.0000000000000007E-2</v>
          </cell>
          <cell r="G157">
            <v>2.7810000000000001</v>
          </cell>
        </row>
        <row r="158">
          <cell r="F158">
            <v>0</v>
          </cell>
          <cell r="G158">
            <v>0</v>
          </cell>
        </row>
        <row r="159">
          <cell r="F159">
            <v>7.0000000000000007E-2</v>
          </cell>
          <cell r="G159">
            <v>1.605</v>
          </cell>
        </row>
        <row r="160">
          <cell r="F160">
            <v>9.4199999999999992E-2</v>
          </cell>
          <cell r="G160">
            <v>1.9910000000000001</v>
          </cell>
        </row>
        <row r="161">
          <cell r="F161">
            <v>7.0000000000000007E-2</v>
          </cell>
          <cell r="G161">
            <v>3.6030000000000002</v>
          </cell>
        </row>
        <row r="162">
          <cell r="F162">
            <v>7.0000000000000007E-2</v>
          </cell>
          <cell r="G162">
            <v>3.3620000000000001</v>
          </cell>
        </row>
        <row r="163">
          <cell r="F163">
            <v>7.0000000000000007E-2</v>
          </cell>
          <cell r="G163">
            <v>2.4409999999999998</v>
          </cell>
        </row>
        <row r="164">
          <cell r="F164">
            <v>7.0000000000000007E-2</v>
          </cell>
          <cell r="G164">
            <v>3.8130000000000002</v>
          </cell>
        </row>
        <row r="165">
          <cell r="F165">
            <v>0</v>
          </cell>
          <cell r="G165">
            <v>0</v>
          </cell>
        </row>
        <row r="166">
          <cell r="F166">
            <v>7.0000000000000007E-2</v>
          </cell>
          <cell r="G166">
            <v>2.25</v>
          </cell>
        </row>
        <row r="167">
          <cell r="F167">
            <v>7.0000000000000007E-2</v>
          </cell>
          <cell r="G167">
            <v>1.742</v>
          </cell>
        </row>
        <row r="168">
          <cell r="F168">
            <v>9.420000000000002E-2</v>
          </cell>
          <cell r="G168">
            <v>4.4189999999999996</v>
          </cell>
        </row>
        <row r="169">
          <cell r="F169">
            <v>9.4200000000000006E-2</v>
          </cell>
          <cell r="G169">
            <v>6.6</v>
          </cell>
        </row>
        <row r="170">
          <cell r="F170">
            <v>9.4200000000000006E-2</v>
          </cell>
          <cell r="G170">
            <v>5.2530000000000001</v>
          </cell>
        </row>
        <row r="171">
          <cell r="F171">
            <v>7.0000000000000007E-2</v>
          </cell>
          <cell r="G171">
            <v>3.286</v>
          </cell>
        </row>
        <row r="172">
          <cell r="F172">
            <v>7.0000000000000007E-2</v>
          </cell>
          <cell r="G172">
            <v>3.7999999999999999E-2</v>
          </cell>
        </row>
        <row r="173">
          <cell r="F173">
            <v>7.0000000000000021E-2</v>
          </cell>
          <cell r="G173">
            <v>0.247</v>
          </cell>
        </row>
        <row r="174">
          <cell r="F174">
            <v>7.0000000000000007E-2</v>
          </cell>
          <cell r="G174">
            <v>1.252</v>
          </cell>
        </row>
        <row r="175">
          <cell r="F175">
            <v>7.0000000000000007E-2</v>
          </cell>
          <cell r="G175">
            <v>0.254</v>
          </cell>
        </row>
        <row r="176">
          <cell r="F176">
            <v>7.0000000000000007E-2</v>
          </cell>
          <cell r="G176">
            <v>0.30599999999999999</v>
          </cell>
        </row>
        <row r="177">
          <cell r="F177">
            <v>9.420000000000002E-2</v>
          </cell>
          <cell r="G177">
            <v>6.9669999999999996</v>
          </cell>
        </row>
        <row r="178">
          <cell r="F178">
            <v>9.4200000000000006E-2</v>
          </cell>
          <cell r="G178">
            <v>3.2879999999999998</v>
          </cell>
        </row>
        <row r="179">
          <cell r="F179">
            <v>9.4200000000000006E-2</v>
          </cell>
          <cell r="G179">
            <v>7.4</v>
          </cell>
        </row>
        <row r="180">
          <cell r="F180">
            <v>7.0000000000000007E-2</v>
          </cell>
          <cell r="G180">
            <v>3.0310000000000001</v>
          </cell>
        </row>
        <row r="181">
          <cell r="F181">
            <v>0</v>
          </cell>
          <cell r="G181">
            <v>0</v>
          </cell>
        </row>
        <row r="182">
          <cell r="F182">
            <v>9.4200000000000006E-2</v>
          </cell>
          <cell r="G182">
            <v>3.9390000000000001</v>
          </cell>
        </row>
        <row r="183">
          <cell r="F183">
            <v>0.12220588235294118</v>
          </cell>
          <cell r="G183">
            <v>7.6230000000000002</v>
          </cell>
        </row>
        <row r="184">
          <cell r="F184">
            <v>7.0000000000000007E-2</v>
          </cell>
          <cell r="G184">
            <v>6.1950000000000003</v>
          </cell>
        </row>
        <row r="185">
          <cell r="F185">
            <v>0</v>
          </cell>
          <cell r="G185">
            <v>0</v>
          </cell>
        </row>
        <row r="186">
          <cell r="F186">
            <v>9.4200000000000006E-2</v>
          </cell>
          <cell r="G186">
            <v>6.3390000000000004</v>
          </cell>
        </row>
        <row r="187">
          <cell r="F187">
            <v>6.9999999999999993E-2</v>
          </cell>
          <cell r="G187">
            <v>0.92300000000000004</v>
          </cell>
        </row>
        <row r="188">
          <cell r="F188">
            <v>9.4200000000000006E-2</v>
          </cell>
          <cell r="G188">
            <v>7.0250000000000004</v>
          </cell>
        </row>
        <row r="189">
          <cell r="F189">
            <v>0.12220588235294118</v>
          </cell>
          <cell r="G189">
            <v>27.555999999999997</v>
          </cell>
        </row>
        <row r="190">
          <cell r="F190">
            <v>9.4199999999999992E-2</v>
          </cell>
          <cell r="G190">
            <v>2.7120000000000002</v>
          </cell>
        </row>
        <row r="191">
          <cell r="F191">
            <v>7.0000000000000007E-2</v>
          </cell>
          <cell r="G191">
            <v>0.2</v>
          </cell>
        </row>
        <row r="192">
          <cell r="F192">
            <v>0.14092105263157895</v>
          </cell>
          <cell r="G192">
            <v>44.76</v>
          </cell>
        </row>
        <row r="193">
          <cell r="F193">
            <v>0.12220588235294118</v>
          </cell>
          <cell r="G193">
            <v>29.07</v>
          </cell>
        </row>
        <row r="194">
          <cell r="F194">
            <v>9.4200000000000006E-2</v>
          </cell>
          <cell r="G194">
            <v>4.55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0</v>
          </cell>
        </row>
        <row r="197">
          <cell r="F197">
            <v>0</v>
          </cell>
          <cell r="G197">
            <v>0</v>
          </cell>
        </row>
        <row r="198">
          <cell r="F198">
            <v>9.4200000000000006E-2</v>
          </cell>
          <cell r="G198">
            <v>5.6</v>
          </cell>
        </row>
        <row r="199">
          <cell r="F199">
            <v>0</v>
          </cell>
          <cell r="G199">
            <v>0</v>
          </cell>
        </row>
        <row r="200">
          <cell r="F200">
            <v>9.4200000000000006E-2</v>
          </cell>
          <cell r="G200">
            <v>7.31</v>
          </cell>
        </row>
        <row r="201">
          <cell r="F201">
            <v>0</v>
          </cell>
          <cell r="G201">
            <v>0</v>
          </cell>
        </row>
        <row r="202">
          <cell r="F202">
            <v>0</v>
          </cell>
          <cell r="G202">
            <v>0</v>
          </cell>
        </row>
        <row r="203">
          <cell r="F203">
            <v>9.4200000000000006E-2</v>
          </cell>
          <cell r="G203">
            <v>8.5500000000000007</v>
          </cell>
        </row>
        <row r="204">
          <cell r="F204">
            <v>0</v>
          </cell>
          <cell r="G204">
            <v>0</v>
          </cell>
        </row>
        <row r="205">
          <cell r="F205">
            <v>0</v>
          </cell>
          <cell r="G205">
            <v>0</v>
          </cell>
        </row>
        <row r="206">
          <cell r="F206">
            <v>0</v>
          </cell>
          <cell r="G206">
            <v>0</v>
          </cell>
        </row>
        <row r="207">
          <cell r="F207">
            <v>7.0000000000000007E-2</v>
          </cell>
          <cell r="G207">
            <v>5.5359999999999996</v>
          </cell>
        </row>
        <row r="208">
          <cell r="F208">
            <v>0</v>
          </cell>
          <cell r="G208">
            <v>0</v>
          </cell>
        </row>
        <row r="209">
          <cell r="F209">
            <v>9.4200000000000006E-2</v>
          </cell>
          <cell r="G209">
            <v>6.0549999999999997</v>
          </cell>
        </row>
        <row r="210">
          <cell r="F210">
            <v>0.12220588235294116</v>
          </cell>
          <cell r="G210">
            <v>6.9840000000000009</v>
          </cell>
        </row>
        <row r="211">
          <cell r="F211">
            <v>0</v>
          </cell>
          <cell r="G211">
            <v>0</v>
          </cell>
        </row>
        <row r="212">
          <cell r="F212">
            <v>0</v>
          </cell>
          <cell r="G212">
            <v>0</v>
          </cell>
        </row>
        <row r="213">
          <cell r="F213">
            <v>9.4200000000000006E-2</v>
          </cell>
          <cell r="G213">
            <v>15.95</v>
          </cell>
        </row>
        <row r="214">
          <cell r="F214">
            <v>0</v>
          </cell>
          <cell r="G214">
            <v>0</v>
          </cell>
        </row>
        <row r="215">
          <cell r="F215">
            <v>0</v>
          </cell>
          <cell r="G215">
            <v>0</v>
          </cell>
        </row>
        <row r="216">
          <cell r="F216">
            <v>9.4200000000000006E-2</v>
          </cell>
          <cell r="G216">
            <v>4.8</v>
          </cell>
        </row>
        <row r="217">
          <cell r="F217">
            <v>9.4200000000000006E-2</v>
          </cell>
          <cell r="G217">
            <v>4.8</v>
          </cell>
        </row>
        <row r="218">
          <cell r="F218">
            <v>0</v>
          </cell>
          <cell r="G218">
            <v>0</v>
          </cell>
        </row>
        <row r="219">
          <cell r="F219">
            <v>9.4199999999999992E-2</v>
          </cell>
          <cell r="G219">
            <v>5.29</v>
          </cell>
        </row>
        <row r="220">
          <cell r="F220">
            <v>9.4200000000000006E-2</v>
          </cell>
          <cell r="G220">
            <v>3.98</v>
          </cell>
        </row>
        <row r="221">
          <cell r="F221">
            <v>9.4199999999999992E-2</v>
          </cell>
          <cell r="G221">
            <v>10.904999999999999</v>
          </cell>
        </row>
        <row r="222">
          <cell r="F222">
            <v>0</v>
          </cell>
          <cell r="G222">
            <v>0</v>
          </cell>
        </row>
        <row r="223">
          <cell r="F223">
            <v>9.4200000000000006E-2</v>
          </cell>
          <cell r="G223">
            <v>7.6109999999999998</v>
          </cell>
        </row>
        <row r="224">
          <cell r="F224">
            <v>0</v>
          </cell>
          <cell r="G224">
            <v>0</v>
          </cell>
        </row>
        <row r="225">
          <cell r="F225">
            <v>0</v>
          </cell>
          <cell r="G225">
            <v>0</v>
          </cell>
        </row>
        <row r="226">
          <cell r="F226">
            <v>0</v>
          </cell>
          <cell r="G226">
            <v>0</v>
          </cell>
        </row>
        <row r="227">
          <cell r="F227">
            <v>9.4200000000000034E-2</v>
          </cell>
          <cell r="G227">
            <v>3.8559999999999999</v>
          </cell>
        </row>
        <row r="228">
          <cell r="F228">
            <v>7.0000000000000007E-2</v>
          </cell>
          <cell r="G228">
            <v>1.5249999999999999</v>
          </cell>
        </row>
        <row r="229">
          <cell r="F229">
            <v>7.0000000000000007E-2</v>
          </cell>
          <cell r="G229">
            <v>1.7150000000000001</v>
          </cell>
        </row>
        <row r="230">
          <cell r="F230">
            <v>7.0000000000000021E-2</v>
          </cell>
          <cell r="G230">
            <v>2.5299999999999998</v>
          </cell>
        </row>
        <row r="231">
          <cell r="F231">
            <v>0</v>
          </cell>
          <cell r="G231">
            <v>0</v>
          </cell>
        </row>
        <row r="232">
          <cell r="F232">
            <v>7.0000000000000021E-2</v>
          </cell>
          <cell r="G232">
            <v>0.59699999999999998</v>
          </cell>
        </row>
        <row r="233">
          <cell r="F233">
            <v>0.14092105263157895</v>
          </cell>
          <cell r="G233">
            <v>29.89</v>
          </cell>
        </row>
        <row r="234">
          <cell r="F234">
            <v>0.14092105263157897</v>
          </cell>
          <cell r="G234">
            <v>46.64</v>
          </cell>
        </row>
        <row r="235">
          <cell r="F235">
            <v>9.420000000000002E-2</v>
          </cell>
          <cell r="G235">
            <v>4.5599999999999996</v>
          </cell>
        </row>
        <row r="236">
          <cell r="F236">
            <v>9.4200000000000006E-2</v>
          </cell>
          <cell r="G236">
            <v>4.7510000000000003</v>
          </cell>
        </row>
        <row r="237">
          <cell r="F237">
            <v>9.4199999999999992E-2</v>
          </cell>
          <cell r="G237">
            <v>6.2539999999999996</v>
          </cell>
        </row>
        <row r="238">
          <cell r="F238">
            <v>9.4199999999999992E-2</v>
          </cell>
          <cell r="G238">
            <v>2.085</v>
          </cell>
        </row>
        <row r="239">
          <cell r="F239">
            <v>7.0000000000000021E-2</v>
          </cell>
          <cell r="G239">
            <v>1.1639999999999999</v>
          </cell>
        </row>
        <row r="240">
          <cell r="F240">
            <v>7.0000000000000007E-2</v>
          </cell>
          <cell r="G240">
            <v>1.115</v>
          </cell>
        </row>
        <row r="241">
          <cell r="F241">
            <v>9.4199999999999992E-2</v>
          </cell>
          <cell r="G241">
            <v>6.0810000000000004</v>
          </cell>
        </row>
        <row r="242">
          <cell r="F242">
            <v>7.0000000000000007E-2</v>
          </cell>
          <cell r="G242">
            <v>0.55700000000000005</v>
          </cell>
        </row>
        <row r="243">
          <cell r="F243">
            <v>9.4200000000000006E-2</v>
          </cell>
          <cell r="G243">
            <v>4.2750000000000004</v>
          </cell>
        </row>
        <row r="244">
          <cell r="F244">
            <v>9.4199999999999992E-2</v>
          </cell>
          <cell r="G244">
            <v>5.5750000000000002</v>
          </cell>
        </row>
        <row r="245">
          <cell r="F245">
            <v>9.4199999999999992E-2</v>
          </cell>
          <cell r="G245">
            <v>3.7120000000000002</v>
          </cell>
        </row>
        <row r="246">
          <cell r="F246">
            <v>9.420000000000002E-2</v>
          </cell>
          <cell r="G246">
            <v>1.8440000000000001</v>
          </cell>
        </row>
        <row r="247">
          <cell r="F247">
            <v>7.0000000000000007E-2</v>
          </cell>
          <cell r="G247">
            <v>1.181</v>
          </cell>
        </row>
        <row r="248">
          <cell r="F248">
            <v>9.4200000000000006E-2</v>
          </cell>
          <cell r="G248">
            <v>3.214</v>
          </cell>
        </row>
        <row r="249">
          <cell r="F249">
            <v>7.0000000000000007E-2</v>
          </cell>
          <cell r="G249">
            <v>0.63100000000000001</v>
          </cell>
        </row>
        <row r="250">
          <cell r="F250">
            <v>7.0000000000000007E-2</v>
          </cell>
          <cell r="G250">
            <v>0.60199999999999998</v>
          </cell>
        </row>
        <row r="251">
          <cell r="F251">
            <v>7.0000000000000007E-2</v>
          </cell>
          <cell r="G251">
            <v>0.16700000000000001</v>
          </cell>
        </row>
        <row r="252">
          <cell r="F252">
            <v>9.4200000000000006E-2</v>
          </cell>
          <cell r="G252">
            <v>2.3780000000000001</v>
          </cell>
        </row>
        <row r="253">
          <cell r="F253">
            <v>9.420000000000002E-2</v>
          </cell>
          <cell r="G253">
            <v>1.851</v>
          </cell>
        </row>
        <row r="254">
          <cell r="F254">
            <v>7.0000000000000007E-2</v>
          </cell>
          <cell r="G254">
            <v>3.42</v>
          </cell>
        </row>
        <row r="255">
          <cell r="F255">
            <v>6.9999999999999993E-2</v>
          </cell>
          <cell r="G255">
            <v>2.2200000000000002</v>
          </cell>
        </row>
        <row r="256">
          <cell r="F256">
            <v>9.4200000000000006E-2</v>
          </cell>
          <cell r="G256">
            <v>2.59</v>
          </cell>
        </row>
        <row r="257">
          <cell r="F257">
            <v>7.0000000000000007E-2</v>
          </cell>
          <cell r="G257">
            <v>2.13</v>
          </cell>
        </row>
        <row r="258">
          <cell r="F258">
            <v>9.4200000000000006E-2</v>
          </cell>
          <cell r="G258">
            <v>5.835</v>
          </cell>
        </row>
        <row r="259">
          <cell r="F259">
            <v>7.0000000000000007E-2</v>
          </cell>
          <cell r="G259">
            <v>1.3280000000000001</v>
          </cell>
        </row>
        <row r="260">
          <cell r="F260">
            <v>7.0000000000000007E-2</v>
          </cell>
          <cell r="G260">
            <v>0.53400000000000003</v>
          </cell>
        </row>
        <row r="261">
          <cell r="F261">
            <v>9.4200000000000006E-2</v>
          </cell>
          <cell r="G261">
            <v>3.7269999999999999</v>
          </cell>
        </row>
        <row r="262">
          <cell r="F262">
            <v>9.4200000000000006E-2</v>
          </cell>
          <cell r="G262">
            <v>4.3819999999999997</v>
          </cell>
        </row>
        <row r="263">
          <cell r="F263">
            <v>9.4200000000000006E-2</v>
          </cell>
          <cell r="G263">
            <v>2.9940000000000002</v>
          </cell>
        </row>
        <row r="264">
          <cell r="F264">
            <v>0.12220588235294121</v>
          </cell>
          <cell r="G264">
            <v>12.510999999999999</v>
          </cell>
        </row>
        <row r="265">
          <cell r="F265">
            <v>0</v>
          </cell>
          <cell r="G265">
            <v>0</v>
          </cell>
        </row>
        <row r="266">
          <cell r="F266">
            <v>9.420000000000002E-2</v>
          </cell>
          <cell r="G266">
            <v>2.3769999999999998</v>
          </cell>
        </row>
        <row r="267">
          <cell r="F267">
            <v>9.4200000000000006E-2</v>
          </cell>
          <cell r="G267">
            <v>0.90600000000000003</v>
          </cell>
        </row>
        <row r="268">
          <cell r="F268">
            <v>9.4199999999999992E-2</v>
          </cell>
          <cell r="G268">
            <v>4.2430000000000003</v>
          </cell>
        </row>
        <row r="269">
          <cell r="F269">
            <v>0.12220588235294119</v>
          </cell>
          <cell r="G269">
            <v>39.222000000000001</v>
          </cell>
        </row>
        <row r="270">
          <cell r="F270">
            <v>9.4200000000000006E-2</v>
          </cell>
          <cell r="G270">
            <v>0.83</v>
          </cell>
        </row>
        <row r="271">
          <cell r="F271">
            <v>9.4199999999999992E-2</v>
          </cell>
          <cell r="G271">
            <v>11.195</v>
          </cell>
        </row>
        <row r="272">
          <cell r="F272">
            <v>0.12220588235294118</v>
          </cell>
          <cell r="G272">
            <v>4</v>
          </cell>
        </row>
        <row r="273">
          <cell r="F273">
            <v>0.12220588235294119</v>
          </cell>
          <cell r="G273">
            <v>30.925000000000001</v>
          </cell>
        </row>
        <row r="274">
          <cell r="F274">
            <v>7.0000000000000007E-2</v>
          </cell>
          <cell r="G274">
            <v>1</v>
          </cell>
        </row>
        <row r="275">
          <cell r="F275">
            <v>9.4199999999999992E-2</v>
          </cell>
          <cell r="G275">
            <v>5</v>
          </cell>
        </row>
        <row r="276">
          <cell r="F276">
            <v>9.4200000000000006E-2</v>
          </cell>
          <cell r="G276">
            <v>2.6890000000000001</v>
          </cell>
        </row>
        <row r="277">
          <cell r="F277">
            <v>9.420000000000002E-2</v>
          </cell>
          <cell r="G277">
            <v>5.8</v>
          </cell>
        </row>
        <row r="278">
          <cell r="F278">
            <v>9.4199999999999992E-2</v>
          </cell>
          <cell r="G278">
            <v>0.66800000000000004</v>
          </cell>
        </row>
        <row r="279">
          <cell r="F279">
            <v>9.4200000000000006E-2</v>
          </cell>
          <cell r="G279">
            <v>5.3</v>
          </cell>
        </row>
        <row r="280">
          <cell r="F280">
            <v>7.0000000000000007E-2</v>
          </cell>
          <cell r="G280">
            <v>0.76900000000000002</v>
          </cell>
        </row>
        <row r="281">
          <cell r="F281">
            <v>9.4199999999999992E-2</v>
          </cell>
          <cell r="G281">
            <v>1.7150000000000001</v>
          </cell>
        </row>
        <row r="282">
          <cell r="F282">
            <v>7.0000000000000021E-2</v>
          </cell>
          <cell r="G282">
            <v>0.6</v>
          </cell>
        </row>
        <row r="283">
          <cell r="F283">
            <v>9.4199999999999992E-2</v>
          </cell>
          <cell r="G283">
            <v>8.0340000000000007</v>
          </cell>
        </row>
        <row r="284">
          <cell r="F284">
            <v>9.4200000000000006E-2</v>
          </cell>
          <cell r="G284">
            <v>2.6</v>
          </cell>
        </row>
        <row r="285">
          <cell r="F285">
            <v>9.420000000000002E-2</v>
          </cell>
          <cell r="G285">
            <v>3.012</v>
          </cell>
        </row>
        <row r="286">
          <cell r="F286">
            <v>9.4200000000000006E-2</v>
          </cell>
          <cell r="G286">
            <v>6.6289999999999996</v>
          </cell>
        </row>
        <row r="287">
          <cell r="F287">
            <v>9.4199999999999992E-2</v>
          </cell>
          <cell r="G287">
            <v>1.48</v>
          </cell>
        </row>
        <row r="288">
          <cell r="F288">
            <v>9.4199999999999992E-2</v>
          </cell>
          <cell r="G288">
            <v>3.3530000000000002</v>
          </cell>
        </row>
        <row r="289">
          <cell r="F289">
            <v>7.0000000000000021E-2</v>
          </cell>
          <cell r="G289">
            <v>1.7849999999999999</v>
          </cell>
        </row>
        <row r="290">
          <cell r="F290">
            <v>9.4200000000000006E-2</v>
          </cell>
          <cell r="G290">
            <v>5.4210000000000003</v>
          </cell>
        </row>
        <row r="291">
          <cell r="F291">
            <v>0.14092105263157897</v>
          </cell>
          <cell r="G291">
            <v>38.846999999999994</v>
          </cell>
        </row>
        <row r="292">
          <cell r="F292">
            <v>0.14092105263157895</v>
          </cell>
          <cell r="G292">
            <v>80.8</v>
          </cell>
        </row>
        <row r="293">
          <cell r="F293">
            <v>9.4200000000000006E-2</v>
          </cell>
          <cell r="G293">
            <v>4.59</v>
          </cell>
        </row>
        <row r="294">
          <cell r="F294">
            <v>7.0000000000000021E-2</v>
          </cell>
          <cell r="G294">
            <v>1.444</v>
          </cell>
        </row>
        <row r="295">
          <cell r="F295">
            <v>9.4200000000000006E-2</v>
          </cell>
          <cell r="G295">
            <v>1.375</v>
          </cell>
        </row>
        <row r="296">
          <cell r="F296">
            <v>9.4199999999999992E-2</v>
          </cell>
          <cell r="G296">
            <v>0.90800000000000003</v>
          </cell>
        </row>
        <row r="297">
          <cell r="F297">
            <v>7.0000000000000021E-2</v>
          </cell>
          <cell r="G297">
            <v>1.103</v>
          </cell>
        </row>
        <row r="298">
          <cell r="F298">
            <v>9.4200000000000006E-2</v>
          </cell>
          <cell r="G298">
            <v>2.9969999999999999</v>
          </cell>
        </row>
        <row r="299">
          <cell r="F299">
            <v>7.0000000000000007E-2</v>
          </cell>
          <cell r="G299">
            <v>1.8180000000000001</v>
          </cell>
        </row>
        <row r="300">
          <cell r="F300">
            <v>7.0000000000000007E-2</v>
          </cell>
          <cell r="G300">
            <v>1.2250000000000001</v>
          </cell>
        </row>
        <row r="301">
          <cell r="F301">
            <v>7.0000000000000007E-2</v>
          </cell>
          <cell r="G301">
            <v>1.629</v>
          </cell>
        </row>
        <row r="302">
          <cell r="F302">
            <v>7.0000000000000007E-2</v>
          </cell>
          <cell r="G302">
            <v>0.83199999999999996</v>
          </cell>
        </row>
        <row r="303">
          <cell r="F303">
            <v>9.4199999999999992E-2</v>
          </cell>
          <cell r="G303">
            <v>3.2610000000000001</v>
          </cell>
        </row>
        <row r="304">
          <cell r="F304">
            <v>7.0000000000000007E-2</v>
          </cell>
          <cell r="G304">
            <v>2.1549999999999998</v>
          </cell>
        </row>
        <row r="305">
          <cell r="F305">
            <v>0.12220588235294119</v>
          </cell>
          <cell r="G305">
            <v>5.3319999999999999</v>
          </cell>
        </row>
        <row r="306">
          <cell r="F306">
            <v>9.4199999999999992E-2</v>
          </cell>
          <cell r="G306">
            <v>6.415</v>
          </cell>
        </row>
        <row r="307">
          <cell r="F307">
            <v>7.0000000000000007E-2</v>
          </cell>
          <cell r="G307">
            <v>1.1579999999999999</v>
          </cell>
        </row>
        <row r="308">
          <cell r="F308">
            <v>7.0000000000000021E-2</v>
          </cell>
          <cell r="G308">
            <v>0.59599999999999997</v>
          </cell>
        </row>
        <row r="309">
          <cell r="F309">
            <v>9.4199999999999992E-2</v>
          </cell>
          <cell r="G309">
            <v>2.5</v>
          </cell>
        </row>
        <row r="310">
          <cell r="F310">
            <v>9.4200000000000006E-2</v>
          </cell>
          <cell r="G310">
            <v>4.7169999999999996</v>
          </cell>
        </row>
        <row r="311">
          <cell r="F311">
            <v>7.0000000000000007E-2</v>
          </cell>
          <cell r="G311">
            <v>0.99099999999999999</v>
          </cell>
        </row>
        <row r="312">
          <cell r="F312">
            <v>7.0000000000000007E-2</v>
          </cell>
          <cell r="G312">
            <v>0.79600000000000004</v>
          </cell>
        </row>
        <row r="313">
          <cell r="F313">
            <v>9.420000000000002E-2</v>
          </cell>
          <cell r="G313">
            <v>3.3460000000000001</v>
          </cell>
        </row>
        <row r="314">
          <cell r="F314">
            <v>9.4200000000000006E-2</v>
          </cell>
          <cell r="G314">
            <v>6.2930000000000001</v>
          </cell>
        </row>
        <row r="315">
          <cell r="F315">
            <v>9.4200000000000006E-2</v>
          </cell>
          <cell r="G315">
            <v>2.262</v>
          </cell>
        </row>
        <row r="316">
          <cell r="F316">
            <v>9.4200000000000006E-2</v>
          </cell>
          <cell r="G316">
            <v>2.8660000000000001</v>
          </cell>
        </row>
        <row r="317">
          <cell r="F317">
            <v>9.4199999999999992E-2</v>
          </cell>
          <cell r="G317">
            <v>7.431</v>
          </cell>
        </row>
        <row r="318">
          <cell r="F318">
            <v>0.12220588235294118</v>
          </cell>
          <cell r="G318">
            <v>11.967000000000001</v>
          </cell>
        </row>
        <row r="319">
          <cell r="F319">
            <v>7.0000000000000007E-2</v>
          </cell>
          <cell r="G319">
            <v>1.6579999999999999</v>
          </cell>
        </row>
        <row r="320">
          <cell r="F320">
            <v>9.4199999999999992E-2</v>
          </cell>
          <cell r="G320">
            <v>5.66</v>
          </cell>
        </row>
        <row r="321">
          <cell r="F321">
            <v>9.4200000000000006E-2</v>
          </cell>
          <cell r="G321">
            <v>6.835</v>
          </cell>
        </row>
        <row r="322">
          <cell r="F322">
            <v>7.0000000000000007E-2</v>
          </cell>
          <cell r="G322">
            <v>3.2759999999999998</v>
          </cell>
        </row>
        <row r="323">
          <cell r="F323">
            <v>7.0000000000000007E-2</v>
          </cell>
          <cell r="G323">
            <v>3.6789999999999998</v>
          </cell>
        </row>
        <row r="324">
          <cell r="F324">
            <v>7.0000000000000021E-2</v>
          </cell>
          <cell r="G324">
            <v>2.5129999999999999</v>
          </cell>
        </row>
        <row r="325">
          <cell r="F325">
            <v>7.0000000000000007E-2</v>
          </cell>
          <cell r="G325">
            <v>1.5229999999999999</v>
          </cell>
        </row>
        <row r="326">
          <cell r="F326">
            <v>7.0000000000000007E-2</v>
          </cell>
          <cell r="G326">
            <v>2.5590000000000002</v>
          </cell>
        </row>
        <row r="327">
          <cell r="F327">
            <v>0.12220588235294118</v>
          </cell>
          <cell r="G327">
            <v>9.3510000000000009</v>
          </cell>
        </row>
        <row r="328">
          <cell r="F328">
            <v>7.0000000000000007E-2</v>
          </cell>
          <cell r="G328">
            <v>0.71299999999999997</v>
          </cell>
        </row>
        <row r="329">
          <cell r="F329">
            <v>0.14092105263157895</v>
          </cell>
          <cell r="G329">
            <v>39.76</v>
          </cell>
        </row>
        <row r="330">
          <cell r="F330">
            <v>9.4199999999999992E-2</v>
          </cell>
          <cell r="G330">
            <v>2.2000000000000002</v>
          </cell>
        </row>
        <row r="331">
          <cell r="F331">
            <v>9.4199999999999992E-2</v>
          </cell>
          <cell r="G331">
            <v>13.087</v>
          </cell>
        </row>
        <row r="332">
          <cell r="F332">
            <v>9.420000000000002E-2</v>
          </cell>
          <cell r="G332">
            <v>9.4949999999999992</v>
          </cell>
        </row>
        <row r="333">
          <cell r="F333">
            <v>7.0000000000000007E-2</v>
          </cell>
          <cell r="G333">
            <v>0.97699999999999998</v>
          </cell>
        </row>
        <row r="334">
          <cell r="F334">
            <v>7.0000000000000007E-2</v>
          </cell>
          <cell r="G334">
            <v>6.359</v>
          </cell>
        </row>
        <row r="335">
          <cell r="F335">
            <v>0</v>
          </cell>
          <cell r="G335">
            <v>0</v>
          </cell>
        </row>
        <row r="336">
          <cell r="F336">
            <v>6.9999999999999993E-2</v>
          </cell>
          <cell r="G336">
            <v>1.056</v>
          </cell>
        </row>
        <row r="337">
          <cell r="F337">
            <v>9.420000000000002E-2</v>
          </cell>
          <cell r="G337">
            <v>5.85</v>
          </cell>
        </row>
        <row r="338">
          <cell r="F338">
            <v>7.0000000000000007E-2</v>
          </cell>
          <cell r="G338">
            <v>2.3170000000000002</v>
          </cell>
        </row>
        <row r="339">
          <cell r="F339">
            <v>9.4200000000000006E-2</v>
          </cell>
          <cell r="G339">
            <v>4.3579999999999997</v>
          </cell>
        </row>
        <row r="340">
          <cell r="F340">
            <v>9.4200000000000006E-2</v>
          </cell>
          <cell r="G340">
            <v>3.7709999999999999</v>
          </cell>
        </row>
        <row r="341">
          <cell r="F341">
            <v>7.0000000000000007E-2</v>
          </cell>
          <cell r="G341">
            <v>2.113</v>
          </cell>
        </row>
        <row r="342">
          <cell r="F342">
            <v>9.420000000000002E-2</v>
          </cell>
          <cell r="G342">
            <v>5.85</v>
          </cell>
        </row>
        <row r="343">
          <cell r="F343">
            <v>0</v>
          </cell>
          <cell r="G343">
            <v>0</v>
          </cell>
        </row>
        <row r="344">
          <cell r="F344">
            <v>9.420000000000002E-2</v>
          </cell>
          <cell r="G344">
            <v>3.1459999999999999</v>
          </cell>
        </row>
        <row r="345">
          <cell r="F345">
            <v>7.0000000000000007E-2</v>
          </cell>
          <cell r="G345">
            <v>2.63</v>
          </cell>
        </row>
        <row r="346">
          <cell r="F346">
            <v>9.4199999999999992E-2</v>
          </cell>
          <cell r="G346">
            <v>13.744999999999999</v>
          </cell>
        </row>
        <row r="347">
          <cell r="F347">
            <v>9.4200000000000006E-2</v>
          </cell>
          <cell r="G347">
            <v>6.98</v>
          </cell>
        </row>
        <row r="348">
          <cell r="F348">
            <v>9.4200000000000006E-2</v>
          </cell>
          <cell r="G348">
            <v>3.1539999999999999</v>
          </cell>
        </row>
        <row r="349">
          <cell r="F349">
            <v>9.420000000000002E-2</v>
          </cell>
          <cell r="G349">
            <v>3.016</v>
          </cell>
        </row>
        <row r="350">
          <cell r="F350">
            <v>9.4200000000000006E-2</v>
          </cell>
          <cell r="G350">
            <v>5.0449999999999999</v>
          </cell>
        </row>
        <row r="351">
          <cell r="F351">
            <v>0.12220588235294116</v>
          </cell>
          <cell r="G351">
            <v>25.91</v>
          </cell>
        </row>
        <row r="352">
          <cell r="F352">
            <v>9.4199999999999992E-2</v>
          </cell>
          <cell r="G352">
            <v>3.5950000000000002</v>
          </cell>
        </row>
        <row r="353">
          <cell r="F353">
            <v>0</v>
          </cell>
          <cell r="G353">
            <v>0</v>
          </cell>
        </row>
        <row r="354">
          <cell r="F354">
            <v>7.0000000000000007E-2</v>
          </cell>
          <cell r="G354">
            <v>1.415</v>
          </cell>
        </row>
        <row r="355">
          <cell r="F355">
            <v>7.0000000000000007E-2</v>
          </cell>
          <cell r="G355">
            <v>1.766</v>
          </cell>
        </row>
        <row r="356">
          <cell r="F356">
            <v>7.0000000000000007E-2</v>
          </cell>
          <cell r="G356">
            <v>2.427</v>
          </cell>
        </row>
        <row r="357">
          <cell r="F357">
            <v>7.0000000000000007E-2</v>
          </cell>
          <cell r="G357">
            <v>2.452</v>
          </cell>
        </row>
        <row r="358">
          <cell r="F358">
            <v>9.4200000000000006E-2</v>
          </cell>
          <cell r="G358">
            <v>0.998</v>
          </cell>
        </row>
        <row r="359">
          <cell r="F359">
            <v>6.9999999999999993E-2</v>
          </cell>
          <cell r="G359">
            <v>2.8690000000000002</v>
          </cell>
        </row>
        <row r="360">
          <cell r="F360">
            <v>9.4199999999999992E-2</v>
          </cell>
          <cell r="G360">
            <v>3.9</v>
          </cell>
        </row>
        <row r="361">
          <cell r="F361">
            <v>9.4200000000000006E-2</v>
          </cell>
          <cell r="G361">
            <v>3.6190000000000002</v>
          </cell>
        </row>
        <row r="362">
          <cell r="F362">
            <v>9.4200000000000006E-2</v>
          </cell>
          <cell r="G362">
            <v>2.7770000000000001</v>
          </cell>
        </row>
        <row r="363">
          <cell r="F363">
            <v>0.12220588235294118</v>
          </cell>
          <cell r="G363">
            <v>14.81</v>
          </cell>
        </row>
        <row r="364">
          <cell r="F364">
            <v>7.0000000000000007E-2</v>
          </cell>
          <cell r="G364">
            <v>0.878</v>
          </cell>
        </row>
        <row r="365">
          <cell r="F365">
            <v>7.0000000000000007E-2</v>
          </cell>
          <cell r="G365">
            <v>1.6639999999999999</v>
          </cell>
        </row>
        <row r="366">
          <cell r="F366">
            <v>7.0000000000000007E-2</v>
          </cell>
          <cell r="G366">
            <v>1.8049999999999999</v>
          </cell>
        </row>
        <row r="367">
          <cell r="F367">
            <v>0</v>
          </cell>
          <cell r="G367">
            <v>0</v>
          </cell>
        </row>
        <row r="368">
          <cell r="F368">
            <v>7.0000000000000021E-2</v>
          </cell>
          <cell r="G368">
            <v>2.7749999999999999</v>
          </cell>
        </row>
        <row r="369">
          <cell r="F369">
            <v>0.12220588235294118</v>
          </cell>
          <cell r="G369">
            <v>10.24</v>
          </cell>
        </row>
        <row r="370">
          <cell r="F370">
            <v>7.0000000000000007E-2</v>
          </cell>
          <cell r="G370">
            <v>2.15</v>
          </cell>
        </row>
        <row r="371">
          <cell r="F371">
            <v>9.4199999999999992E-2</v>
          </cell>
          <cell r="G371">
            <v>7.3470000000000004</v>
          </cell>
        </row>
        <row r="372">
          <cell r="F372">
            <v>7.0000000000000007E-2</v>
          </cell>
          <cell r="G372">
            <v>2.1459999999999999</v>
          </cell>
        </row>
        <row r="373">
          <cell r="F373">
            <v>9.4200000000000006E-2</v>
          </cell>
          <cell r="G373">
            <v>4.6609999999999996</v>
          </cell>
        </row>
        <row r="374">
          <cell r="F374">
            <v>9.4199999999999992E-2</v>
          </cell>
          <cell r="G374">
            <v>2.2650000000000001</v>
          </cell>
        </row>
        <row r="375">
          <cell r="F375">
            <v>9.4200000000000006E-2</v>
          </cell>
          <cell r="G375">
            <v>3.07</v>
          </cell>
        </row>
        <row r="376">
          <cell r="F376">
            <v>9.4200000000000006E-2</v>
          </cell>
          <cell r="G376">
            <v>4.6479999999999997</v>
          </cell>
        </row>
        <row r="377">
          <cell r="F377">
            <v>0.12220588235294118</v>
          </cell>
          <cell r="G377">
            <v>29.23</v>
          </cell>
        </row>
        <row r="378">
          <cell r="F378">
            <v>9.4200000000000006E-2</v>
          </cell>
          <cell r="G378">
            <v>3.786</v>
          </cell>
        </row>
        <row r="379">
          <cell r="F379">
            <v>0</v>
          </cell>
          <cell r="G379">
            <v>0</v>
          </cell>
        </row>
        <row r="380">
          <cell r="F380">
            <v>6.9999999999999993E-2</v>
          </cell>
          <cell r="G380">
            <v>0.30199999999999999</v>
          </cell>
        </row>
        <row r="381">
          <cell r="F381">
            <v>7.0000000000000007E-2</v>
          </cell>
          <cell r="G381">
            <v>0.5</v>
          </cell>
        </row>
        <row r="382">
          <cell r="F382">
            <v>7.0000000000000021E-2</v>
          </cell>
          <cell r="G382">
            <v>3.6219999999999999</v>
          </cell>
        </row>
        <row r="383">
          <cell r="F383">
            <v>7.0000000000000007E-2</v>
          </cell>
          <cell r="G383">
            <v>1.927</v>
          </cell>
        </row>
        <row r="384">
          <cell r="F384">
            <v>7.0000000000000007E-2</v>
          </cell>
          <cell r="G384">
            <v>0.64800000000000002</v>
          </cell>
        </row>
        <row r="385">
          <cell r="F385">
            <v>7.0000000000000021E-2</v>
          </cell>
          <cell r="G385">
            <v>1.0009999999999999</v>
          </cell>
        </row>
        <row r="386">
          <cell r="F386">
            <v>7.0000000000000007E-2</v>
          </cell>
          <cell r="G386">
            <v>0.751</v>
          </cell>
        </row>
        <row r="387">
          <cell r="F387">
            <v>9.4200000000000006E-2</v>
          </cell>
          <cell r="G387">
            <v>2.0259999999999998</v>
          </cell>
        </row>
        <row r="388">
          <cell r="F388">
            <v>7.0000000000000007E-2</v>
          </cell>
          <cell r="G388">
            <v>3.8319999999999999</v>
          </cell>
        </row>
        <row r="389">
          <cell r="F389">
            <v>0</v>
          </cell>
          <cell r="G389">
            <v>0</v>
          </cell>
        </row>
        <row r="390">
          <cell r="F390">
            <v>7.0000000000000007E-2</v>
          </cell>
          <cell r="G390">
            <v>1.25</v>
          </cell>
        </row>
        <row r="391">
          <cell r="F391">
            <v>9.4200000000000006E-2</v>
          </cell>
          <cell r="G391">
            <v>5.1040000000000001</v>
          </cell>
        </row>
        <row r="392">
          <cell r="F392">
            <v>7.0000000000000007E-2</v>
          </cell>
          <cell r="G392">
            <v>3.3969999999999998</v>
          </cell>
        </row>
        <row r="393">
          <cell r="F393">
            <v>7.0000000000000007E-2</v>
          </cell>
          <cell r="G393">
            <v>0.44700000000000001</v>
          </cell>
        </row>
        <row r="394">
          <cell r="F394">
            <v>7.0000000000000007E-2</v>
          </cell>
          <cell r="G394">
            <v>1.171</v>
          </cell>
        </row>
        <row r="395">
          <cell r="F395">
            <v>9.4200000000000006E-2</v>
          </cell>
          <cell r="G395">
            <v>3.1520000000000001</v>
          </cell>
        </row>
        <row r="396">
          <cell r="F396">
            <v>7.0000000000000007E-2</v>
          </cell>
          <cell r="G396">
            <v>0.67500000000000004</v>
          </cell>
        </row>
        <row r="397">
          <cell r="F397">
            <v>9.4200000000000006E-2</v>
          </cell>
          <cell r="G397">
            <v>2.532</v>
          </cell>
        </row>
        <row r="398">
          <cell r="F398">
            <v>7.0000000000000007E-2</v>
          </cell>
          <cell r="G398">
            <v>0.79600000000000004</v>
          </cell>
        </row>
        <row r="399">
          <cell r="F399">
            <v>9.420000000000002E-2</v>
          </cell>
          <cell r="G399">
            <v>2.8679999999999999</v>
          </cell>
        </row>
        <row r="400">
          <cell r="F400">
            <v>7.0000000000000007E-2</v>
          </cell>
          <cell r="G400">
            <v>0.67700000000000005</v>
          </cell>
        </row>
        <row r="401">
          <cell r="F401">
            <v>9.420000000000002E-2</v>
          </cell>
          <cell r="G401">
            <v>3.4980000000000002</v>
          </cell>
        </row>
        <row r="402">
          <cell r="F402">
            <v>0</v>
          </cell>
          <cell r="G402">
            <v>0</v>
          </cell>
        </row>
        <row r="403">
          <cell r="F403">
            <v>7.0000000000000007E-2</v>
          </cell>
          <cell r="G403">
            <v>2.1549999999999998</v>
          </cell>
        </row>
        <row r="404">
          <cell r="F404">
            <v>6.9999999999999993E-2</v>
          </cell>
          <cell r="G404">
            <v>0.23100000000000001</v>
          </cell>
        </row>
        <row r="405">
          <cell r="F405">
            <v>7.0000000000000007E-2</v>
          </cell>
          <cell r="G405">
            <v>0.57699999999999996</v>
          </cell>
        </row>
        <row r="406">
          <cell r="F406">
            <v>9.4199999999999992E-2</v>
          </cell>
          <cell r="G406">
            <v>3.0550000000000002</v>
          </cell>
        </row>
        <row r="407">
          <cell r="F407">
            <v>7.0000000000000007E-2</v>
          </cell>
          <cell r="G407">
            <v>1.91</v>
          </cell>
        </row>
        <row r="408">
          <cell r="F408">
            <v>7.0000000000000007E-2</v>
          </cell>
          <cell r="G408">
            <v>0.76700000000000002</v>
          </cell>
        </row>
        <row r="409">
          <cell r="F409">
            <v>7.0000000000000007E-2</v>
          </cell>
          <cell r="G409">
            <v>0.89</v>
          </cell>
        </row>
        <row r="410">
          <cell r="F410">
            <v>0</v>
          </cell>
          <cell r="G410">
            <v>0</v>
          </cell>
        </row>
        <row r="411">
          <cell r="F411">
            <v>9.4199999999999992E-2</v>
          </cell>
          <cell r="G411">
            <v>2.2890000000000001</v>
          </cell>
        </row>
        <row r="412">
          <cell r="F412">
            <v>9.4200000000000006E-2</v>
          </cell>
          <cell r="G412">
            <v>3.6539999999999999</v>
          </cell>
        </row>
        <row r="413">
          <cell r="F413">
            <v>9.4199999999999992E-2</v>
          </cell>
          <cell r="G413">
            <v>2.79</v>
          </cell>
        </row>
        <row r="414">
          <cell r="F414">
            <v>7.0000000000000007E-2</v>
          </cell>
          <cell r="G414">
            <v>0.91700000000000004</v>
          </cell>
        </row>
        <row r="415">
          <cell r="F415">
            <v>7.0000000000000007E-2</v>
          </cell>
          <cell r="G415">
            <v>9.7569999999999997</v>
          </cell>
        </row>
        <row r="416">
          <cell r="F416">
            <v>0</v>
          </cell>
          <cell r="G416">
            <v>0</v>
          </cell>
        </row>
        <row r="417">
          <cell r="F417">
            <v>0.14092105263157895</v>
          </cell>
          <cell r="G417">
            <v>39.83</v>
          </cell>
        </row>
        <row r="418">
          <cell r="F418">
            <v>9.4200000000000006E-2</v>
          </cell>
          <cell r="G418">
            <v>1.2</v>
          </cell>
        </row>
        <row r="419">
          <cell r="F419">
            <v>0.12220588235294118</v>
          </cell>
          <cell r="G419">
            <v>9.2769999999999992</v>
          </cell>
        </row>
        <row r="420">
          <cell r="F420">
            <v>0</v>
          </cell>
          <cell r="G420">
            <v>0</v>
          </cell>
        </row>
        <row r="421">
          <cell r="F421">
            <v>0</v>
          </cell>
          <cell r="G421">
            <v>0</v>
          </cell>
        </row>
        <row r="422">
          <cell r="F422">
            <v>0</v>
          </cell>
          <cell r="G422">
            <v>0</v>
          </cell>
        </row>
        <row r="423">
          <cell r="F423">
            <v>0</v>
          </cell>
          <cell r="G423">
            <v>0</v>
          </cell>
        </row>
        <row r="424">
          <cell r="F424">
            <v>0</v>
          </cell>
          <cell r="G424">
            <v>0</v>
          </cell>
        </row>
        <row r="425">
          <cell r="F425">
            <v>0</v>
          </cell>
          <cell r="G425">
            <v>0</v>
          </cell>
        </row>
        <row r="426">
          <cell r="F426">
            <v>0</v>
          </cell>
          <cell r="G426">
            <v>0</v>
          </cell>
        </row>
        <row r="427">
          <cell r="F427">
            <v>0</v>
          </cell>
          <cell r="G427">
            <v>0</v>
          </cell>
        </row>
        <row r="428">
          <cell r="F428">
            <v>0</v>
          </cell>
          <cell r="G428">
            <v>0</v>
          </cell>
        </row>
        <row r="429">
          <cell r="F429">
            <v>0</v>
          </cell>
          <cell r="G429">
            <v>0</v>
          </cell>
        </row>
        <row r="430">
          <cell r="F430">
            <v>0</v>
          </cell>
          <cell r="G430">
            <v>0</v>
          </cell>
        </row>
        <row r="431">
          <cell r="F431">
            <v>0</v>
          </cell>
          <cell r="G431">
            <v>0</v>
          </cell>
        </row>
        <row r="432">
          <cell r="F432">
            <v>0</v>
          </cell>
          <cell r="G432">
            <v>0</v>
          </cell>
        </row>
        <row r="433">
          <cell r="F433">
            <v>0</v>
          </cell>
          <cell r="G433">
            <v>0</v>
          </cell>
        </row>
        <row r="434">
          <cell r="F434">
            <v>0</v>
          </cell>
          <cell r="G434">
            <v>0</v>
          </cell>
        </row>
        <row r="435">
          <cell r="F435">
            <v>0</v>
          </cell>
          <cell r="G435">
            <v>0</v>
          </cell>
        </row>
        <row r="436">
          <cell r="F436">
            <v>0</v>
          </cell>
          <cell r="G436">
            <v>0</v>
          </cell>
        </row>
        <row r="437">
          <cell r="F437">
            <v>0</v>
          </cell>
          <cell r="G437">
            <v>0</v>
          </cell>
        </row>
        <row r="438">
          <cell r="F438">
            <v>0</v>
          </cell>
          <cell r="G438">
            <v>0</v>
          </cell>
        </row>
        <row r="439">
          <cell r="F439">
            <v>0</v>
          </cell>
          <cell r="G439">
            <v>0</v>
          </cell>
        </row>
        <row r="440">
          <cell r="F440">
            <v>0</v>
          </cell>
          <cell r="G440">
            <v>0</v>
          </cell>
        </row>
        <row r="441">
          <cell r="F441">
            <v>0</v>
          </cell>
          <cell r="G441">
            <v>0</v>
          </cell>
        </row>
        <row r="442">
          <cell r="F442">
            <v>0</v>
          </cell>
          <cell r="G442">
            <v>0</v>
          </cell>
        </row>
        <row r="443">
          <cell r="F443">
            <v>0</v>
          </cell>
          <cell r="G443">
            <v>0</v>
          </cell>
        </row>
        <row r="444">
          <cell r="F444">
            <v>0</v>
          </cell>
          <cell r="G444">
            <v>0</v>
          </cell>
        </row>
        <row r="445">
          <cell r="F445">
            <v>0</v>
          </cell>
          <cell r="G445">
            <v>0</v>
          </cell>
        </row>
        <row r="446">
          <cell r="F446">
            <v>0</v>
          </cell>
          <cell r="G446">
            <v>0</v>
          </cell>
        </row>
        <row r="447">
          <cell r="F447">
            <v>0</v>
          </cell>
          <cell r="G447">
            <v>0</v>
          </cell>
        </row>
        <row r="448">
          <cell r="F448">
            <v>0</v>
          </cell>
          <cell r="G448">
            <v>0</v>
          </cell>
        </row>
        <row r="449">
          <cell r="F449">
            <v>0</v>
          </cell>
          <cell r="G449">
            <v>0</v>
          </cell>
        </row>
        <row r="450">
          <cell r="F450">
            <v>0</v>
          </cell>
          <cell r="G450">
            <v>0</v>
          </cell>
        </row>
        <row r="451">
          <cell r="F451">
            <v>0</v>
          </cell>
          <cell r="G451">
            <v>0</v>
          </cell>
        </row>
        <row r="452">
          <cell r="F452">
            <v>0</v>
          </cell>
          <cell r="G452">
            <v>0</v>
          </cell>
        </row>
        <row r="453">
          <cell r="F453">
            <v>0</v>
          </cell>
          <cell r="G453">
            <v>0</v>
          </cell>
        </row>
        <row r="454">
          <cell r="F454">
            <v>0</v>
          </cell>
          <cell r="G454">
            <v>0</v>
          </cell>
        </row>
        <row r="455">
          <cell r="F455">
            <v>0</v>
          </cell>
          <cell r="G455">
            <v>0</v>
          </cell>
        </row>
        <row r="456">
          <cell r="F456">
            <v>0</v>
          </cell>
          <cell r="G456">
            <v>0</v>
          </cell>
        </row>
        <row r="457">
          <cell r="F457">
            <v>0</v>
          </cell>
          <cell r="G457">
            <v>0</v>
          </cell>
        </row>
        <row r="458">
          <cell r="F458">
            <v>0</v>
          </cell>
          <cell r="G458">
            <v>0</v>
          </cell>
        </row>
        <row r="459">
          <cell r="F459">
            <v>0</v>
          </cell>
          <cell r="G459">
            <v>0</v>
          </cell>
        </row>
        <row r="460">
          <cell r="F460">
            <v>0</v>
          </cell>
          <cell r="G460">
            <v>0</v>
          </cell>
        </row>
        <row r="461">
          <cell r="F461">
            <v>0</v>
          </cell>
          <cell r="G461">
            <v>0</v>
          </cell>
        </row>
        <row r="462">
          <cell r="F462">
            <v>0</v>
          </cell>
          <cell r="G462">
            <v>0</v>
          </cell>
        </row>
        <row r="463">
          <cell r="F463">
            <v>0</v>
          </cell>
          <cell r="G463">
            <v>0</v>
          </cell>
        </row>
        <row r="464">
          <cell r="F464">
            <v>0</v>
          </cell>
          <cell r="G464">
            <v>0</v>
          </cell>
        </row>
        <row r="465">
          <cell r="F465">
            <v>0</v>
          </cell>
          <cell r="G465">
            <v>0</v>
          </cell>
        </row>
        <row r="466">
          <cell r="F466">
            <v>0</v>
          </cell>
          <cell r="G466">
            <v>0</v>
          </cell>
        </row>
        <row r="467">
          <cell r="F467">
            <v>0</v>
          </cell>
          <cell r="G467">
            <v>0</v>
          </cell>
        </row>
        <row r="468">
          <cell r="F468">
            <v>0</v>
          </cell>
          <cell r="G468">
            <v>0</v>
          </cell>
        </row>
        <row r="469">
          <cell r="F469">
            <v>0</v>
          </cell>
          <cell r="G469">
            <v>0</v>
          </cell>
        </row>
        <row r="470">
          <cell r="F470">
            <v>0</v>
          </cell>
          <cell r="G470">
            <v>0</v>
          </cell>
        </row>
        <row r="471">
          <cell r="F471">
            <v>0</v>
          </cell>
          <cell r="G471">
            <v>0</v>
          </cell>
        </row>
        <row r="472">
          <cell r="F472">
            <v>0</v>
          </cell>
          <cell r="G472">
            <v>0</v>
          </cell>
        </row>
        <row r="473">
          <cell r="F473">
            <v>0</v>
          </cell>
          <cell r="G473">
            <v>0</v>
          </cell>
        </row>
        <row r="474">
          <cell r="F474">
            <v>0</v>
          </cell>
          <cell r="G474">
            <v>0</v>
          </cell>
        </row>
        <row r="475">
          <cell r="F475">
            <v>0</v>
          </cell>
          <cell r="G475">
            <v>0</v>
          </cell>
        </row>
        <row r="476">
          <cell r="F476">
            <v>0</v>
          </cell>
          <cell r="G476">
            <v>0</v>
          </cell>
        </row>
        <row r="477">
          <cell r="F477">
            <v>0</v>
          </cell>
          <cell r="G477">
            <v>0</v>
          </cell>
        </row>
        <row r="478">
          <cell r="F478">
            <v>0</v>
          </cell>
          <cell r="G478">
            <v>0</v>
          </cell>
        </row>
        <row r="479">
          <cell r="F479">
            <v>0</v>
          </cell>
          <cell r="G479">
            <v>0</v>
          </cell>
        </row>
        <row r="480">
          <cell r="F480">
            <v>0</v>
          </cell>
          <cell r="G480">
            <v>0</v>
          </cell>
        </row>
        <row r="481">
          <cell r="F481">
            <v>0</v>
          </cell>
          <cell r="G481">
            <v>0</v>
          </cell>
        </row>
        <row r="482">
          <cell r="F482">
            <v>0</v>
          </cell>
          <cell r="G482">
            <v>0</v>
          </cell>
        </row>
        <row r="483">
          <cell r="F483">
            <v>0</v>
          </cell>
          <cell r="G483">
            <v>0</v>
          </cell>
        </row>
        <row r="484">
          <cell r="F484">
            <v>0</v>
          </cell>
          <cell r="G484">
            <v>0</v>
          </cell>
        </row>
        <row r="485">
          <cell r="F485">
            <v>0</v>
          </cell>
          <cell r="G485">
            <v>0</v>
          </cell>
        </row>
        <row r="486">
          <cell r="F486">
            <v>0</v>
          </cell>
          <cell r="G486">
            <v>0</v>
          </cell>
        </row>
        <row r="487">
          <cell r="F487">
            <v>0</v>
          </cell>
          <cell r="G487">
            <v>0</v>
          </cell>
        </row>
        <row r="488">
          <cell r="F488">
            <v>0</v>
          </cell>
          <cell r="G488">
            <v>0</v>
          </cell>
        </row>
        <row r="489">
          <cell r="F489">
            <v>0</v>
          </cell>
          <cell r="G489">
            <v>0</v>
          </cell>
        </row>
        <row r="490">
          <cell r="F490">
            <v>0</v>
          </cell>
          <cell r="G490">
            <v>0</v>
          </cell>
        </row>
        <row r="491">
          <cell r="F491">
            <v>0</v>
          </cell>
          <cell r="G491">
            <v>0</v>
          </cell>
        </row>
        <row r="492">
          <cell r="F492">
            <v>0</v>
          </cell>
          <cell r="G492">
            <v>0</v>
          </cell>
        </row>
        <row r="493">
          <cell r="F493">
            <v>0</v>
          </cell>
          <cell r="G493">
            <v>0</v>
          </cell>
        </row>
        <row r="494">
          <cell r="F494">
            <v>0</v>
          </cell>
          <cell r="G494">
            <v>0</v>
          </cell>
        </row>
        <row r="495">
          <cell r="F495">
            <v>0</v>
          </cell>
          <cell r="G495">
            <v>0</v>
          </cell>
        </row>
        <row r="496">
          <cell r="F496">
            <v>0</v>
          </cell>
          <cell r="G496">
            <v>0</v>
          </cell>
        </row>
        <row r="497">
          <cell r="F497">
            <v>0</v>
          </cell>
          <cell r="G497">
            <v>0</v>
          </cell>
        </row>
        <row r="498">
          <cell r="F498">
            <v>0</v>
          </cell>
          <cell r="G498">
            <v>0</v>
          </cell>
        </row>
        <row r="499">
          <cell r="F499">
            <v>0</v>
          </cell>
          <cell r="G499">
            <v>0</v>
          </cell>
        </row>
        <row r="500">
          <cell r="F500">
            <v>0</v>
          </cell>
          <cell r="G500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">
          <cell r="A1" t="str">
            <v>Муниципальный район</v>
          </cell>
        </row>
        <row r="2">
          <cell r="A2" t="str">
            <v>Муниципальный район "Бабынинский район"</v>
          </cell>
        </row>
        <row r="3">
          <cell r="A3" t="str">
            <v>Муниципальный район "Барятинский район"</v>
          </cell>
        </row>
        <row r="4">
          <cell r="A4" t="str">
            <v>Муниципальный район "Боровский район"</v>
          </cell>
        </row>
        <row r="5">
          <cell r="A5" t="str">
            <v>Муниципальный район "Дзержинский район"</v>
          </cell>
        </row>
        <row r="6">
          <cell r="A6" t="str">
            <v>Муниципальный район "Думиничский район"</v>
          </cell>
        </row>
        <row r="7">
          <cell r="A7" t="str">
            <v>Муниципальный район "Жиздринский район"</v>
          </cell>
        </row>
        <row r="8">
          <cell r="A8" t="str">
            <v>Муниципальный район "Жуковский район"</v>
          </cell>
        </row>
        <row r="9">
          <cell r="A9" t="str">
            <v>Муниципальный район "Город Киров и Кировский район"</v>
          </cell>
        </row>
        <row r="10">
          <cell r="A10" t="str">
            <v>Муниципальный район "Износковский район"</v>
          </cell>
        </row>
        <row r="11">
          <cell r="A11" t="str">
            <v>Муниципальный район "Козельский район"</v>
          </cell>
        </row>
        <row r="12">
          <cell r="A12" t="str">
            <v>Муниципальный район "Куйбышевский район"</v>
          </cell>
        </row>
        <row r="13">
          <cell r="A13" t="str">
            <v>Муниципальный район "Город Людиново и Людиновский район"</v>
          </cell>
        </row>
        <row r="14">
          <cell r="A14" t="str">
            <v>Муниципальный район "Малоярославецкий район"</v>
          </cell>
        </row>
        <row r="15">
          <cell r="A15" t="str">
            <v>Муниципальный район "Медынский район"</v>
          </cell>
        </row>
        <row r="16">
          <cell r="A16" t="str">
            <v>Муниципальный район "Мещовский район"</v>
          </cell>
        </row>
        <row r="17">
          <cell r="A17" t="str">
            <v>Муниципальный район "Мосальский район"</v>
          </cell>
        </row>
        <row r="18">
          <cell r="A18" t="str">
            <v>Муниципальный район "Перемышльский район"</v>
          </cell>
        </row>
        <row r="19">
          <cell r="A19" t="str">
            <v>Муниципальный район "Спас-Деменский район"</v>
          </cell>
        </row>
        <row r="20">
          <cell r="A20" t="str">
            <v>Муниципальный район "Сухиничский район"</v>
          </cell>
        </row>
        <row r="21">
          <cell r="A21" t="str">
            <v>Муниципальный район "Тарусский район"</v>
          </cell>
        </row>
        <row r="22">
          <cell r="A22" t="str">
            <v>Муниципальный район "Ульяновский район"</v>
          </cell>
        </row>
        <row r="23">
          <cell r="A23" t="str">
            <v>Муниципальный район "Ферзиковский район"</v>
          </cell>
        </row>
        <row r="24">
          <cell r="A24" t="str">
            <v>Муниципальный район "Хвастовичский район"</v>
          </cell>
        </row>
        <row r="25">
          <cell r="A25" t="str">
            <v>Муниципальный район "Юхновский район"</v>
          </cell>
        </row>
        <row r="26">
          <cell r="A26" t="str">
            <v>Городской округ "Город Калуга"</v>
          </cell>
        </row>
      </sheetData>
      <sheetData sheetId="24"/>
      <sheetData sheetId="25"/>
      <sheetData sheetId="2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ство"/>
      <sheetName val="Население"/>
      <sheetName val="Статистика"/>
      <sheetName val="Перспективное строительство"/>
      <sheetName val="Спрос"/>
      <sheetName val="ЦП"/>
      <sheetName val="Амортизация"/>
      <sheetName val="Перечень инв.проектов ТС"/>
      <sheetName val="Перечень инв.проектов ВС"/>
      <sheetName val="Перечень инв.проектов ВО"/>
      <sheetName val="Перечень инв.проектов ГС"/>
      <sheetName val="Перечень инв.проектов ТКО"/>
      <sheetName val="Перечень инв.проектов ЭЭ"/>
      <sheetName val="Фин.потребности"/>
      <sheetName val="Программа инв. проектов"/>
      <sheetName val="Доступность"/>
    </sheetNames>
    <sheetDataSet>
      <sheetData sheetId="0"/>
      <sheetData sheetId="1"/>
      <sheetData sheetId="2"/>
      <sheetData sheetId="3"/>
      <sheetData sheetId="4">
        <row r="41">
          <cell r="C41" t="str">
            <v>МВт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ство"/>
      <sheetName val="Доступность"/>
      <sheetName val="Население"/>
      <sheetName val="Расчет населения"/>
      <sheetName val="Жил.фонд"/>
      <sheetName val="Спрос ОДЗ и ПРОМ"/>
      <sheetName val="Спрос"/>
    </sheetNames>
    <sheetDataSet>
      <sheetData sheetId="0"/>
      <sheetData sheetId="1">
        <row r="75">
          <cell r="C75" t="str">
            <v>млн руб.</v>
          </cell>
        </row>
        <row r="97">
          <cell r="C97" t="str">
            <v>тыс. руб.</v>
          </cell>
        </row>
        <row r="98">
          <cell r="C98" t="str">
            <v>тыс. руб.</v>
          </cell>
        </row>
        <row r="99">
          <cell r="C99" t="str">
            <v>тыс. руб.</v>
          </cell>
        </row>
        <row r="100">
          <cell r="C100" t="str">
            <v>тыс. чел.</v>
          </cell>
        </row>
        <row r="130">
          <cell r="C130" t="str">
            <v>тыс. чел.</v>
          </cell>
        </row>
        <row r="165">
          <cell r="C165" t="str">
            <v>руб/чел/мес</v>
          </cell>
        </row>
      </sheetData>
      <sheetData sheetId="2"/>
      <sheetData sheetId="3"/>
      <sheetData sheetId="4">
        <row r="2">
          <cell r="D2">
            <v>1118022.1190476192</v>
          </cell>
        </row>
      </sheetData>
      <sheetData sheetId="5"/>
      <sheetData sheetId="6">
        <row r="7">
          <cell r="C7" t="str">
            <v>тыс. Гкал</v>
          </cell>
        </row>
        <row r="12">
          <cell r="C12" t="str">
            <v>тыс. м3</v>
          </cell>
        </row>
        <row r="17">
          <cell r="C17" t="str">
            <v>тыс. м3</v>
          </cell>
        </row>
        <row r="22">
          <cell r="C22" t="str">
            <v>млн. кВт*ч</v>
          </cell>
        </row>
        <row r="23">
          <cell r="C23" t="str">
            <v>млн. кВт*ч</v>
          </cell>
        </row>
        <row r="24">
          <cell r="C24" t="str">
            <v>млн. кВт*ч</v>
          </cell>
        </row>
        <row r="28">
          <cell r="C28" t="str">
            <v>тыс.м3</v>
          </cell>
        </row>
        <row r="33">
          <cell r="C33" t="str">
            <v>тыс. м3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H67"/>
  <sheetViews>
    <sheetView zoomScaleNormal="100" workbookViewId="0">
      <selection activeCell="D16" sqref="D16"/>
    </sheetView>
  </sheetViews>
  <sheetFormatPr defaultRowHeight="12.75" x14ac:dyDescent="0.2"/>
  <cols>
    <col min="2" max="2" width="88.83203125" customWidth="1"/>
    <col min="3" max="3" width="158.6640625" customWidth="1"/>
    <col min="4" max="4" width="53.83203125" style="50" customWidth="1"/>
    <col min="5" max="8" width="8.83203125" style="50"/>
  </cols>
  <sheetData>
    <row r="1" spans="2:8" ht="15.75" x14ac:dyDescent="0.2">
      <c r="B1" s="395" t="s">
        <v>0</v>
      </c>
      <c r="C1" s="395"/>
    </row>
    <row r="4" spans="2:8" x14ac:dyDescent="0.2">
      <c r="B4" s="177" t="s">
        <v>1</v>
      </c>
      <c r="C4" s="177" t="s">
        <v>2</v>
      </c>
      <c r="H4"/>
    </row>
    <row r="5" spans="2:8" x14ac:dyDescent="0.2">
      <c r="B5" s="4" t="s">
        <v>3</v>
      </c>
      <c r="C5" s="4" t="s">
        <v>4</v>
      </c>
      <c r="H5"/>
    </row>
    <row r="6" spans="2:8" x14ac:dyDescent="0.2">
      <c r="B6" s="4" t="s">
        <v>5</v>
      </c>
      <c r="C6" s="4" t="s">
        <v>387</v>
      </c>
      <c r="H6"/>
    </row>
    <row r="7" spans="2:8" ht="25.5" x14ac:dyDescent="0.2">
      <c r="B7" s="4" t="s">
        <v>6</v>
      </c>
      <c r="C7" s="4" t="s">
        <v>7</v>
      </c>
      <c r="H7"/>
    </row>
    <row r="8" spans="2:8" x14ac:dyDescent="0.2">
      <c r="B8" s="4" t="s">
        <v>8</v>
      </c>
      <c r="C8" s="4" t="s">
        <v>9</v>
      </c>
      <c r="H8"/>
    </row>
    <row r="9" spans="2:8" x14ac:dyDescent="0.2">
      <c r="B9" s="4" t="s">
        <v>10</v>
      </c>
      <c r="C9" s="4" t="s">
        <v>388</v>
      </c>
      <c r="H9"/>
    </row>
    <row r="10" spans="2:8" x14ac:dyDescent="0.2">
      <c r="B10" s="4" t="s">
        <v>11</v>
      </c>
      <c r="C10" s="4" t="s">
        <v>12</v>
      </c>
      <c r="H10"/>
    </row>
    <row r="11" spans="2:8" x14ac:dyDescent="0.2">
      <c r="B11" s="4" t="s">
        <v>13</v>
      </c>
      <c r="C11" s="4" t="s">
        <v>14</v>
      </c>
      <c r="H11"/>
    </row>
    <row r="12" spans="2:8" x14ac:dyDescent="0.2">
      <c r="B12" s="4" t="s">
        <v>15</v>
      </c>
      <c r="C12" s="4" t="s">
        <v>16</v>
      </c>
      <c r="H12"/>
    </row>
    <row r="13" spans="2:8" x14ac:dyDescent="0.2">
      <c r="B13" s="4" t="s">
        <v>17</v>
      </c>
      <c r="C13" s="4" t="s">
        <v>18</v>
      </c>
      <c r="H13"/>
    </row>
    <row r="14" spans="2:8" x14ac:dyDescent="0.2">
      <c r="B14" s="4" t="s">
        <v>19</v>
      </c>
      <c r="C14" s="4" t="s">
        <v>20</v>
      </c>
      <c r="H14"/>
    </row>
    <row r="15" spans="2:8" x14ac:dyDescent="0.2">
      <c r="B15" s="4" t="s">
        <v>21</v>
      </c>
      <c r="C15" s="4" t="s">
        <v>22</v>
      </c>
      <c r="H15"/>
    </row>
    <row r="16" spans="2:8" x14ac:dyDescent="0.2">
      <c r="B16" s="4" t="s">
        <v>23</v>
      </c>
      <c r="C16" s="4" t="s">
        <v>24</v>
      </c>
      <c r="H16"/>
    </row>
    <row r="17" spans="2:8" x14ac:dyDescent="0.2">
      <c r="B17" s="4" t="s">
        <v>25</v>
      </c>
      <c r="C17" s="4" t="s">
        <v>26</v>
      </c>
      <c r="H17"/>
    </row>
    <row r="18" spans="2:8" x14ac:dyDescent="0.2">
      <c r="B18" s="4" t="s">
        <v>27</v>
      </c>
      <c r="C18" s="4" t="s">
        <v>28</v>
      </c>
      <c r="H18"/>
    </row>
    <row r="19" spans="2:8" ht="25.5" x14ac:dyDescent="0.2">
      <c r="B19" s="4" t="s">
        <v>29</v>
      </c>
      <c r="C19" s="4" t="s">
        <v>30</v>
      </c>
      <c r="H19"/>
    </row>
    <row r="22" spans="2:8" x14ac:dyDescent="0.2">
      <c r="B22" s="394" t="s">
        <v>31</v>
      </c>
      <c r="C22" s="394"/>
    </row>
    <row r="23" spans="2:8" x14ac:dyDescent="0.2">
      <c r="B23" s="173" t="s">
        <v>32</v>
      </c>
      <c r="C23" s="173" t="s">
        <v>33</v>
      </c>
    </row>
    <row r="24" spans="2:8" x14ac:dyDescent="0.2">
      <c r="B24" s="174" t="s">
        <v>595</v>
      </c>
      <c r="C24" s="176" t="s">
        <v>34</v>
      </c>
    </row>
    <row r="25" spans="2:8" x14ac:dyDescent="0.2">
      <c r="B25" s="174" t="s">
        <v>593</v>
      </c>
      <c r="C25" s="176" t="s">
        <v>35</v>
      </c>
    </row>
    <row r="26" spans="2:8" x14ac:dyDescent="0.2">
      <c r="B26" s="174" t="s">
        <v>769</v>
      </c>
      <c r="C26" s="176" t="s">
        <v>35</v>
      </c>
    </row>
    <row r="27" spans="2:8" x14ac:dyDescent="0.2">
      <c r="B27" s="174" t="s">
        <v>770</v>
      </c>
      <c r="C27" s="176" t="s">
        <v>35</v>
      </c>
    </row>
    <row r="28" spans="2:8" x14ac:dyDescent="0.2">
      <c r="B28" s="174" t="s">
        <v>596</v>
      </c>
      <c r="C28" s="176" t="s">
        <v>308</v>
      </c>
    </row>
    <row r="29" spans="2:8" x14ac:dyDescent="0.2">
      <c r="B29" s="174" t="s">
        <v>597</v>
      </c>
      <c r="C29" s="176" t="s">
        <v>309</v>
      </c>
    </row>
    <row r="30" spans="2:8" x14ac:dyDescent="0.2">
      <c r="B30" s="175" t="s">
        <v>1034</v>
      </c>
      <c r="C30" s="176" t="s">
        <v>208</v>
      </c>
    </row>
    <row r="31" spans="2:8" x14ac:dyDescent="0.2">
      <c r="B31" s="175" t="s">
        <v>594</v>
      </c>
      <c r="C31" s="176" t="s">
        <v>292</v>
      </c>
    </row>
    <row r="39" spans="3:3" x14ac:dyDescent="0.2">
      <c r="C39" s="242" t="s">
        <v>598</v>
      </c>
    </row>
    <row r="40" spans="3:3" x14ac:dyDescent="0.2">
      <c r="C40" s="112" t="s">
        <v>599</v>
      </c>
    </row>
    <row r="41" spans="3:3" x14ac:dyDescent="0.2">
      <c r="C41" s="112" t="s">
        <v>600</v>
      </c>
    </row>
    <row r="42" spans="3:3" x14ac:dyDescent="0.2">
      <c r="C42" s="112" t="s">
        <v>601</v>
      </c>
    </row>
    <row r="43" spans="3:3" x14ac:dyDescent="0.2">
      <c r="C43" s="112"/>
    </row>
    <row r="44" spans="3:3" x14ac:dyDescent="0.2">
      <c r="C44" s="112"/>
    </row>
    <row r="45" spans="3:3" x14ac:dyDescent="0.2">
      <c r="C45" s="112"/>
    </row>
    <row r="46" spans="3:3" x14ac:dyDescent="0.2">
      <c r="C46" s="112"/>
    </row>
    <row r="47" spans="3:3" x14ac:dyDescent="0.2">
      <c r="C47" s="112"/>
    </row>
    <row r="48" spans="3:3" x14ac:dyDescent="0.2">
      <c r="C48" s="112"/>
    </row>
    <row r="49" spans="3:3" x14ac:dyDescent="0.2">
      <c r="C49" s="112"/>
    </row>
    <row r="50" spans="3:3" x14ac:dyDescent="0.2">
      <c r="C50" s="112"/>
    </row>
    <row r="51" spans="3:3" x14ac:dyDescent="0.2">
      <c r="C51" s="112"/>
    </row>
    <row r="52" spans="3:3" x14ac:dyDescent="0.2">
      <c r="C52" s="112"/>
    </row>
    <row r="53" spans="3:3" x14ac:dyDescent="0.2">
      <c r="C53" s="112"/>
    </row>
    <row r="54" spans="3:3" x14ac:dyDescent="0.2">
      <c r="C54" s="112"/>
    </row>
    <row r="55" spans="3:3" x14ac:dyDescent="0.2">
      <c r="C55" s="112"/>
    </row>
    <row r="56" spans="3:3" x14ac:dyDescent="0.2">
      <c r="C56" s="112"/>
    </row>
    <row r="57" spans="3:3" x14ac:dyDescent="0.2">
      <c r="C57" s="112"/>
    </row>
    <row r="58" spans="3:3" x14ac:dyDescent="0.2">
      <c r="C58" s="112"/>
    </row>
    <row r="59" spans="3:3" x14ac:dyDescent="0.2">
      <c r="C59" s="112"/>
    </row>
    <row r="60" spans="3:3" x14ac:dyDescent="0.2">
      <c r="C60" s="112"/>
    </row>
    <row r="61" spans="3:3" x14ac:dyDescent="0.2">
      <c r="C61" s="112"/>
    </row>
    <row r="62" spans="3:3" x14ac:dyDescent="0.2">
      <c r="C62" s="112"/>
    </row>
    <row r="63" spans="3:3" x14ac:dyDescent="0.2">
      <c r="C63" s="112"/>
    </row>
    <row r="64" spans="3:3" x14ac:dyDescent="0.2">
      <c r="C64" s="112"/>
    </row>
    <row r="65" spans="3:3" x14ac:dyDescent="0.2">
      <c r="C65" s="112"/>
    </row>
    <row r="66" spans="3:3" x14ac:dyDescent="0.2">
      <c r="C66" s="112"/>
    </row>
    <row r="67" spans="3:3" x14ac:dyDescent="0.2">
      <c r="C67" s="112"/>
    </row>
  </sheetData>
  <mergeCells count="2">
    <mergeCell ref="B22:C22"/>
    <mergeCell ref="B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F36"/>
  <sheetViews>
    <sheetView zoomScale="85" zoomScaleNormal="85" workbookViewId="0">
      <selection activeCell="AF1" sqref="AF1:AF1048576"/>
    </sheetView>
  </sheetViews>
  <sheetFormatPr defaultColWidth="8.83203125" defaultRowHeight="15" x14ac:dyDescent="0.25"/>
  <cols>
    <col min="1" max="1" width="7.5" style="6" customWidth="1"/>
    <col min="2" max="2" width="16.1640625" style="6" customWidth="1"/>
    <col min="3" max="3" width="19.1640625" style="6" customWidth="1"/>
    <col min="4" max="4" width="21.33203125" style="6" customWidth="1"/>
    <col min="5" max="5" width="33.1640625" style="6" customWidth="1"/>
    <col min="6" max="6" width="32.83203125" style="6" customWidth="1"/>
    <col min="7" max="7" width="29.83203125" style="6" customWidth="1"/>
    <col min="8" max="8" width="20.83203125" style="6" customWidth="1"/>
    <col min="9" max="9" width="17.83203125" style="6" customWidth="1"/>
    <col min="10" max="10" width="15.33203125" style="6" customWidth="1"/>
    <col min="11" max="11" width="19.83203125" style="6" customWidth="1"/>
    <col min="12" max="24" width="12.1640625" style="21" customWidth="1"/>
    <col min="25" max="25" width="15.6640625" style="21" customWidth="1"/>
    <col min="26" max="31" width="8.83203125" style="6" customWidth="1"/>
    <col min="32" max="32" width="8.83203125" style="8" hidden="1" customWidth="1"/>
    <col min="33" max="16384" width="8.83203125" style="6"/>
  </cols>
  <sheetData>
    <row r="1" spans="1:32" ht="31.5" customHeight="1" x14ac:dyDescent="0.25">
      <c r="A1" s="433" t="s">
        <v>36</v>
      </c>
      <c r="B1" s="433" t="s">
        <v>140</v>
      </c>
      <c r="C1" s="433" t="s">
        <v>141</v>
      </c>
      <c r="D1" s="433" t="s">
        <v>142</v>
      </c>
      <c r="E1" s="427" t="s">
        <v>143</v>
      </c>
      <c r="F1" s="427" t="s">
        <v>144</v>
      </c>
      <c r="G1" s="427" t="s">
        <v>145</v>
      </c>
      <c r="H1" s="427" t="s">
        <v>176</v>
      </c>
      <c r="I1" s="427" t="s">
        <v>147</v>
      </c>
      <c r="J1" s="427" t="s">
        <v>148</v>
      </c>
      <c r="K1" s="428" t="s">
        <v>390</v>
      </c>
      <c r="L1" s="429" t="s">
        <v>311</v>
      </c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1"/>
      <c r="AF1" s="434" t="s">
        <v>150</v>
      </c>
    </row>
    <row r="2" spans="1:32" ht="26.25" customHeight="1" x14ac:dyDescent="0.25">
      <c r="A2" s="433"/>
      <c r="B2" s="433"/>
      <c r="C2" s="433"/>
      <c r="D2" s="433"/>
      <c r="E2" s="427"/>
      <c r="F2" s="427"/>
      <c r="G2" s="427"/>
      <c r="H2" s="427"/>
      <c r="I2" s="427"/>
      <c r="J2" s="427"/>
      <c r="K2" s="428"/>
      <c r="L2" s="5">
        <v>2023</v>
      </c>
      <c r="M2" s="5">
        <v>2024</v>
      </c>
      <c r="N2" s="5">
        <v>2025</v>
      </c>
      <c r="O2" s="5">
        <v>2026</v>
      </c>
      <c r="P2" s="5">
        <v>2027</v>
      </c>
      <c r="Q2" s="5">
        <v>2028</v>
      </c>
      <c r="R2" s="5">
        <v>2029</v>
      </c>
      <c r="S2" s="5">
        <v>2030</v>
      </c>
      <c r="T2" s="5">
        <v>2031</v>
      </c>
      <c r="U2" s="5">
        <v>2032</v>
      </c>
      <c r="V2" s="5">
        <v>2033</v>
      </c>
      <c r="W2" s="5">
        <v>2034</v>
      </c>
      <c r="X2" s="5">
        <v>2035</v>
      </c>
      <c r="Y2" s="113" t="s">
        <v>151</v>
      </c>
      <c r="AF2" s="435"/>
    </row>
    <row r="3" spans="1:32" ht="36" customHeight="1" x14ac:dyDescent="0.25">
      <c r="A3" s="114">
        <v>1</v>
      </c>
      <c r="B3" s="427" t="s">
        <v>171</v>
      </c>
      <c r="C3" s="427"/>
      <c r="D3" s="427"/>
      <c r="E3" s="427"/>
      <c r="F3" s="427"/>
      <c r="G3" s="427"/>
      <c r="H3" s="427"/>
      <c r="I3" s="427"/>
      <c r="J3" s="427"/>
      <c r="K3" s="56">
        <f>SUM(K4:K4)</f>
        <v>63528.341970893758</v>
      </c>
      <c r="L3" s="56">
        <f t="shared" ref="L3:M3" si="0">SUM(L4:L9)</f>
        <v>0</v>
      </c>
      <c r="M3" s="56">
        <f t="shared" si="0"/>
        <v>48638.326010657162</v>
      </c>
      <c r="N3" s="56">
        <f>SUM(N4:N9)</f>
        <v>68694.640067458095</v>
      </c>
      <c r="O3" s="56">
        <f t="shared" ref="O3:Y3" si="1">SUM(O4:O9)</f>
        <v>71442.42567015643</v>
      </c>
      <c r="P3" s="56">
        <f t="shared" si="1"/>
        <v>74300.122696962673</v>
      </c>
      <c r="Q3" s="56">
        <f t="shared" si="1"/>
        <v>181222.31261808079</v>
      </c>
      <c r="R3" s="56">
        <f t="shared" si="1"/>
        <v>188471.20232280402</v>
      </c>
      <c r="S3" s="56">
        <f t="shared" si="1"/>
        <v>196010.05521571622</v>
      </c>
      <c r="T3" s="56">
        <f t="shared" si="1"/>
        <v>203850.45462434486</v>
      </c>
      <c r="U3" s="56">
        <f t="shared" si="1"/>
        <v>212004.47720931866</v>
      </c>
      <c r="V3" s="56">
        <f t="shared" si="1"/>
        <v>290731.72444806498</v>
      </c>
      <c r="W3" s="56">
        <f t="shared" si="1"/>
        <v>293816.86979319819</v>
      </c>
      <c r="X3" s="56">
        <f t="shared" si="1"/>
        <v>229590.32031028206</v>
      </c>
      <c r="Y3" s="56">
        <f t="shared" si="1"/>
        <v>2058772.9309870442</v>
      </c>
    </row>
    <row r="4" spans="1:32" ht="51" x14ac:dyDescent="0.25">
      <c r="A4" s="117" t="s">
        <v>159</v>
      </c>
      <c r="B4" s="53" t="s">
        <v>564</v>
      </c>
      <c r="C4" s="54" t="s">
        <v>167</v>
      </c>
      <c r="D4" s="53" t="s">
        <v>162</v>
      </c>
      <c r="E4" s="184" t="s">
        <v>517</v>
      </c>
      <c r="F4" s="182" t="s">
        <v>518</v>
      </c>
      <c r="G4" s="182" t="s">
        <v>449</v>
      </c>
      <c r="H4" s="182" t="s">
        <v>560</v>
      </c>
      <c r="I4" s="59" t="s">
        <v>310</v>
      </c>
      <c r="J4" s="182" t="s">
        <v>522</v>
      </c>
      <c r="K4" s="185">
        <f t="shared" ref="K4:K9" si="2">Y4</f>
        <v>63528.341970893758</v>
      </c>
      <c r="L4" s="119">
        <v>0</v>
      </c>
      <c r="M4" s="119">
        <v>0</v>
      </c>
      <c r="N4" s="119">
        <v>6002.983153953629</v>
      </c>
      <c r="O4" s="119">
        <v>6243.1024801117737</v>
      </c>
      <c r="P4" s="119">
        <v>6492.8265793162445</v>
      </c>
      <c r="Q4" s="119">
        <v>6752.5396424888941</v>
      </c>
      <c r="R4" s="119">
        <v>7022.6412281884504</v>
      </c>
      <c r="S4" s="119">
        <v>7303.5468773159891</v>
      </c>
      <c r="T4" s="119">
        <v>7595.6887524086287</v>
      </c>
      <c r="U4" s="119">
        <v>7899.5163025049742</v>
      </c>
      <c r="V4" s="119">
        <v>8215.4969546051725</v>
      </c>
      <c r="W4" s="119">
        <v>0</v>
      </c>
      <c r="X4" s="119">
        <v>0</v>
      </c>
      <c r="Y4" s="56">
        <f t="shared" ref="Y4:Y34" si="3">SUM(L4:X4)</f>
        <v>63528.341970893758</v>
      </c>
      <c r="AF4" s="55" t="s">
        <v>172</v>
      </c>
    </row>
    <row r="5" spans="1:32" ht="51" x14ac:dyDescent="0.25">
      <c r="A5" s="117"/>
      <c r="B5" s="53" t="s">
        <v>564</v>
      </c>
      <c r="C5" s="54" t="s">
        <v>167</v>
      </c>
      <c r="D5" s="53" t="s">
        <v>165</v>
      </c>
      <c r="E5" s="184" t="s">
        <v>508</v>
      </c>
      <c r="F5" s="182" t="s">
        <v>509</v>
      </c>
      <c r="G5" s="182" t="s">
        <v>449</v>
      </c>
      <c r="H5" s="182" t="s">
        <v>559</v>
      </c>
      <c r="I5" s="59" t="s">
        <v>163</v>
      </c>
      <c r="J5" s="182" t="s">
        <v>519</v>
      </c>
      <c r="K5" s="185">
        <f t="shared" si="2"/>
        <v>650020.53999999992</v>
      </c>
      <c r="L5" s="119">
        <v>0</v>
      </c>
      <c r="M5" s="119">
        <v>0</v>
      </c>
      <c r="N5" s="119">
        <v>0</v>
      </c>
      <c r="O5" s="119">
        <v>0</v>
      </c>
      <c r="P5" s="119">
        <v>0</v>
      </c>
      <c r="Q5" s="119">
        <v>70545.320000000007</v>
      </c>
      <c r="R5" s="119">
        <v>73367.13</v>
      </c>
      <c r="S5" s="119">
        <v>76301.820000000007</v>
      </c>
      <c r="T5" s="119">
        <v>79353.89</v>
      </c>
      <c r="U5" s="119">
        <v>82528.05</v>
      </c>
      <c r="V5" s="119">
        <v>85829.17</v>
      </c>
      <c r="W5" s="119">
        <v>89262.33</v>
      </c>
      <c r="X5" s="119">
        <v>92832.83</v>
      </c>
      <c r="Y5" s="56">
        <f t="shared" si="3"/>
        <v>650020.53999999992</v>
      </c>
      <c r="AF5" s="55" t="s">
        <v>156</v>
      </c>
    </row>
    <row r="6" spans="1:32" ht="51" x14ac:dyDescent="0.25">
      <c r="A6" s="117"/>
      <c r="B6" s="53" t="s">
        <v>564</v>
      </c>
      <c r="C6" s="54" t="s">
        <v>167</v>
      </c>
      <c r="D6" s="53" t="s">
        <v>165</v>
      </c>
      <c r="E6" s="184" t="s">
        <v>510</v>
      </c>
      <c r="F6" s="182" t="s">
        <v>511</v>
      </c>
      <c r="G6" s="182" t="s">
        <v>449</v>
      </c>
      <c r="H6" s="182" t="s">
        <v>559</v>
      </c>
      <c r="I6" s="59" t="s">
        <v>163</v>
      </c>
      <c r="J6" s="182" t="s">
        <v>519</v>
      </c>
      <c r="K6" s="185">
        <f t="shared" si="2"/>
        <v>307799.98442115181</v>
      </c>
      <c r="L6" s="119">
        <v>0</v>
      </c>
      <c r="M6" s="119">
        <v>0</v>
      </c>
      <c r="N6" s="119">
        <v>0</v>
      </c>
      <c r="O6" s="119">
        <v>0</v>
      </c>
      <c r="P6" s="119">
        <v>0</v>
      </c>
      <c r="Q6" s="119">
        <v>33404.865013239607</v>
      </c>
      <c r="R6" s="119">
        <v>34741.059613769197</v>
      </c>
      <c r="S6" s="119">
        <v>36130.701998319972</v>
      </c>
      <c r="T6" s="119">
        <v>37575.930078252764</v>
      </c>
      <c r="U6" s="119">
        <v>39078.96728138288</v>
      </c>
      <c r="V6" s="119">
        <v>40642.12597263819</v>
      </c>
      <c r="W6" s="119">
        <v>42267.811011543723</v>
      </c>
      <c r="X6" s="119">
        <v>43958.523452005473</v>
      </c>
      <c r="Y6" s="56">
        <f t="shared" si="3"/>
        <v>307799.98442115181</v>
      </c>
      <c r="AF6" s="55" t="s">
        <v>172</v>
      </c>
    </row>
    <row r="7" spans="1:32" ht="51" x14ac:dyDescent="0.25">
      <c r="A7" s="117"/>
      <c r="B7" s="53" t="s">
        <v>564</v>
      </c>
      <c r="C7" s="54" t="s">
        <v>167</v>
      </c>
      <c r="D7" s="53" t="s">
        <v>165</v>
      </c>
      <c r="E7" s="184" t="s">
        <v>512</v>
      </c>
      <c r="F7" s="182" t="s">
        <v>456</v>
      </c>
      <c r="G7" s="182" t="s">
        <v>449</v>
      </c>
      <c r="H7" s="182" t="s">
        <v>559</v>
      </c>
      <c r="I7" s="59" t="s">
        <v>163</v>
      </c>
      <c r="J7" s="182" t="s">
        <v>520</v>
      </c>
      <c r="K7" s="185">
        <f t="shared" si="2"/>
        <v>143304.02310676212</v>
      </c>
      <c r="L7" s="119">
        <v>0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70247.070150373591</v>
      </c>
      <c r="W7" s="119">
        <v>73056.95295638853</v>
      </c>
      <c r="X7" s="119">
        <v>0</v>
      </c>
      <c r="Y7" s="56">
        <f t="shared" si="3"/>
        <v>143304.02310676212</v>
      </c>
      <c r="AF7" s="55" t="s">
        <v>367</v>
      </c>
    </row>
    <row r="8" spans="1:32" ht="51" x14ac:dyDescent="0.25">
      <c r="A8" s="117"/>
      <c r="B8" s="53" t="s">
        <v>564</v>
      </c>
      <c r="C8" s="54" t="s">
        <v>153</v>
      </c>
      <c r="D8" s="53" t="s">
        <v>165</v>
      </c>
      <c r="E8" s="184" t="s">
        <v>513</v>
      </c>
      <c r="F8" s="182" t="s">
        <v>514</v>
      </c>
      <c r="G8" s="182" t="s">
        <v>449</v>
      </c>
      <c r="H8" s="182" t="s">
        <v>450</v>
      </c>
      <c r="I8" s="59" t="s">
        <v>310</v>
      </c>
      <c r="J8" s="182" t="s">
        <v>521</v>
      </c>
      <c r="K8" s="185">
        <f t="shared" si="2"/>
        <v>134453.0881098386</v>
      </c>
      <c r="L8" s="119">
        <v>0</v>
      </c>
      <c r="M8" s="119">
        <v>0</v>
      </c>
      <c r="N8" s="119">
        <v>9969.5673087169362</v>
      </c>
      <c r="O8" s="119">
        <v>10368.350001065615</v>
      </c>
      <c r="P8" s="119">
        <v>10783.08400110824</v>
      </c>
      <c r="Q8" s="119">
        <v>11214.407361152569</v>
      </c>
      <c r="R8" s="119">
        <v>11662.983655598671</v>
      </c>
      <c r="S8" s="119">
        <v>12129.503001822621</v>
      </c>
      <c r="T8" s="119">
        <v>12614.683121895525</v>
      </c>
      <c r="U8" s="119">
        <v>13119.270446771345</v>
      </c>
      <c r="V8" s="119">
        <v>13644.041264642199</v>
      </c>
      <c r="W8" s="119">
        <v>14189.802915227889</v>
      </c>
      <c r="X8" s="119">
        <v>14757.395031837004</v>
      </c>
      <c r="Y8" s="56">
        <f t="shared" si="3"/>
        <v>134453.0881098386</v>
      </c>
      <c r="AF8" s="55" t="s">
        <v>156</v>
      </c>
    </row>
    <row r="9" spans="1:32" ht="51" x14ac:dyDescent="0.25">
      <c r="A9" s="117"/>
      <c r="B9" s="53" t="s">
        <v>564</v>
      </c>
      <c r="C9" s="54" t="s">
        <v>153</v>
      </c>
      <c r="D9" s="53" t="s">
        <v>165</v>
      </c>
      <c r="E9" s="184" t="s">
        <v>515</v>
      </c>
      <c r="F9" s="182" t="s">
        <v>516</v>
      </c>
      <c r="G9" s="182" t="s">
        <v>449</v>
      </c>
      <c r="H9" s="182" t="s">
        <v>450</v>
      </c>
      <c r="I9" s="59" t="s">
        <v>310</v>
      </c>
      <c r="J9" s="182" t="s">
        <v>451</v>
      </c>
      <c r="K9" s="185">
        <f t="shared" si="2"/>
        <v>759666.95337839785</v>
      </c>
      <c r="L9" s="119">
        <v>0</v>
      </c>
      <c r="M9" s="119">
        <v>48638.326010657162</v>
      </c>
      <c r="N9" s="119">
        <v>52722.089604787529</v>
      </c>
      <c r="O9" s="119">
        <v>54830.973188979035</v>
      </c>
      <c r="P9" s="119">
        <v>57024.21211653819</v>
      </c>
      <c r="Q9" s="119">
        <v>59305.180601199718</v>
      </c>
      <c r="R9" s="119">
        <v>61677.387825247708</v>
      </c>
      <c r="S9" s="119">
        <v>64144.483338257625</v>
      </c>
      <c r="T9" s="119">
        <v>66710.262671787932</v>
      </c>
      <c r="U9" s="119">
        <v>69378.673178659446</v>
      </c>
      <c r="V9" s="119">
        <v>72153.820105805818</v>
      </c>
      <c r="W9" s="119">
        <v>75039.972910038065</v>
      </c>
      <c r="X9" s="119">
        <v>78041.571826439584</v>
      </c>
      <c r="Y9" s="56">
        <f t="shared" si="3"/>
        <v>759666.95337839785</v>
      </c>
      <c r="AF9" s="55" t="s">
        <v>156</v>
      </c>
    </row>
    <row r="10" spans="1:32" ht="48.75" customHeight="1" x14ac:dyDescent="0.25">
      <c r="A10" s="114">
        <v>2</v>
      </c>
      <c r="B10" s="427" t="s">
        <v>305</v>
      </c>
      <c r="C10" s="427"/>
      <c r="D10" s="427"/>
      <c r="E10" s="427"/>
      <c r="F10" s="427"/>
      <c r="G10" s="427"/>
      <c r="H10" s="427"/>
      <c r="I10" s="427"/>
      <c r="J10" s="427"/>
      <c r="K10" s="56">
        <f t="shared" ref="K10:X10" si="4">SUM(K11:K34)</f>
        <v>1214006.0499999998</v>
      </c>
      <c r="L10" s="56">
        <f t="shared" si="4"/>
        <v>50000</v>
      </c>
      <c r="M10" s="56">
        <f t="shared" si="4"/>
        <v>192846.11</v>
      </c>
      <c r="N10" s="56">
        <f t="shared" si="4"/>
        <v>751278.49999999988</v>
      </c>
      <c r="O10" s="56">
        <f t="shared" si="4"/>
        <v>80850.23</v>
      </c>
      <c r="P10" s="56">
        <f t="shared" si="4"/>
        <v>22635.1</v>
      </c>
      <c r="Q10" s="56">
        <f t="shared" si="4"/>
        <v>6485.19</v>
      </c>
      <c r="R10" s="56">
        <f t="shared" si="4"/>
        <v>11839.82</v>
      </c>
      <c r="S10" s="56">
        <f t="shared" si="4"/>
        <v>12313.41</v>
      </c>
      <c r="T10" s="56">
        <f t="shared" si="4"/>
        <v>15833.2</v>
      </c>
      <c r="U10" s="56">
        <f t="shared" si="4"/>
        <v>16466.53</v>
      </c>
      <c r="V10" s="56">
        <f t="shared" si="4"/>
        <v>17125.18</v>
      </c>
      <c r="W10" s="56">
        <f t="shared" si="4"/>
        <v>17810.189999999999</v>
      </c>
      <c r="X10" s="56">
        <f t="shared" si="4"/>
        <v>18522.589999999997</v>
      </c>
      <c r="Y10" s="56">
        <f t="shared" si="3"/>
        <v>1214006.0499999998</v>
      </c>
      <c r="AF10" s="55"/>
    </row>
    <row r="11" spans="1:32" ht="76.5" x14ac:dyDescent="0.25">
      <c r="A11" s="43" t="s">
        <v>119</v>
      </c>
      <c r="B11" s="53" t="s">
        <v>564</v>
      </c>
      <c r="C11" s="54" t="s">
        <v>164</v>
      </c>
      <c r="D11" s="53" t="s">
        <v>165</v>
      </c>
      <c r="E11" s="182" t="s">
        <v>523</v>
      </c>
      <c r="F11" s="182" t="s">
        <v>463</v>
      </c>
      <c r="G11" s="182" t="s">
        <v>449</v>
      </c>
      <c r="H11" s="182" t="s">
        <v>561</v>
      </c>
      <c r="I11" s="59" t="s">
        <v>163</v>
      </c>
      <c r="J11" s="182">
        <v>2025</v>
      </c>
      <c r="K11" s="185">
        <f>Y11</f>
        <v>600000</v>
      </c>
      <c r="L11" s="119">
        <v>0</v>
      </c>
      <c r="M11" s="119">
        <v>0</v>
      </c>
      <c r="N11" s="119">
        <v>600000</v>
      </c>
      <c r="O11" s="119">
        <v>0</v>
      </c>
      <c r="P11" s="119">
        <v>0</v>
      </c>
      <c r="Q11" s="119">
        <v>0</v>
      </c>
      <c r="R11" s="119">
        <v>0</v>
      </c>
      <c r="S11" s="119">
        <v>0</v>
      </c>
      <c r="T11" s="119">
        <v>0</v>
      </c>
      <c r="U11" s="119">
        <v>0</v>
      </c>
      <c r="V11" s="119">
        <v>0</v>
      </c>
      <c r="W11" s="119">
        <v>0</v>
      </c>
      <c r="X11" s="119">
        <v>0</v>
      </c>
      <c r="Y11" s="56">
        <f t="shared" si="3"/>
        <v>600000</v>
      </c>
      <c r="AF11" s="55" t="s">
        <v>367</v>
      </c>
    </row>
    <row r="12" spans="1:32" ht="76.5" x14ac:dyDescent="0.25">
      <c r="A12" s="43" t="s">
        <v>121</v>
      </c>
      <c r="B12" s="53" t="s">
        <v>564</v>
      </c>
      <c r="C12" s="54" t="s">
        <v>164</v>
      </c>
      <c r="D12" s="53" t="s">
        <v>165</v>
      </c>
      <c r="E12" s="182" t="s">
        <v>524</v>
      </c>
      <c r="F12" s="182" t="s">
        <v>463</v>
      </c>
      <c r="G12" s="182" t="s">
        <v>449</v>
      </c>
      <c r="H12" s="182" t="s">
        <v>561</v>
      </c>
      <c r="I12" s="59" t="s">
        <v>310</v>
      </c>
      <c r="J12" s="182">
        <v>2024</v>
      </c>
      <c r="K12" s="185">
        <f t="shared" ref="K12:K34" si="5">Y12</f>
        <v>11087.83</v>
      </c>
      <c r="L12" s="119">
        <v>0</v>
      </c>
      <c r="M12" s="119">
        <v>11087.83</v>
      </c>
      <c r="N12" s="119">
        <v>0</v>
      </c>
      <c r="O12" s="119">
        <v>0</v>
      </c>
      <c r="P12" s="119">
        <v>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v>0</v>
      </c>
      <c r="W12" s="119">
        <v>0</v>
      </c>
      <c r="X12" s="119">
        <v>0</v>
      </c>
      <c r="Y12" s="56">
        <f t="shared" si="3"/>
        <v>11087.83</v>
      </c>
      <c r="AF12" s="55" t="s">
        <v>172</v>
      </c>
    </row>
    <row r="13" spans="1:32" ht="76.5" x14ac:dyDescent="0.25">
      <c r="A13" s="43" t="s">
        <v>138</v>
      </c>
      <c r="B13" s="53" t="s">
        <v>564</v>
      </c>
      <c r="C13" s="54" t="s">
        <v>164</v>
      </c>
      <c r="D13" s="53" t="s">
        <v>165</v>
      </c>
      <c r="E13" s="182" t="s">
        <v>525</v>
      </c>
      <c r="F13" s="182" t="s">
        <v>463</v>
      </c>
      <c r="G13" s="182" t="s">
        <v>449</v>
      </c>
      <c r="H13" s="182" t="s">
        <v>561</v>
      </c>
      <c r="I13" s="59" t="s">
        <v>310</v>
      </c>
      <c r="J13" s="182">
        <v>2027</v>
      </c>
      <c r="K13" s="185">
        <f t="shared" si="5"/>
        <v>11713.81</v>
      </c>
      <c r="L13" s="119">
        <v>0</v>
      </c>
      <c r="M13" s="119">
        <v>0</v>
      </c>
      <c r="N13" s="119">
        <v>0</v>
      </c>
      <c r="O13" s="119">
        <v>0</v>
      </c>
      <c r="P13" s="119">
        <v>11713.81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v>0</v>
      </c>
      <c r="W13" s="119">
        <v>0</v>
      </c>
      <c r="X13" s="119">
        <v>0</v>
      </c>
      <c r="Y13" s="56">
        <f t="shared" si="3"/>
        <v>11713.81</v>
      </c>
      <c r="AF13" s="55" t="s">
        <v>172</v>
      </c>
    </row>
    <row r="14" spans="1:32" ht="76.5" x14ac:dyDescent="0.25">
      <c r="A14" s="43" t="s">
        <v>139</v>
      </c>
      <c r="B14" s="53" t="s">
        <v>564</v>
      </c>
      <c r="C14" s="54" t="s">
        <v>164</v>
      </c>
      <c r="D14" s="53" t="s">
        <v>165</v>
      </c>
      <c r="E14" s="182" t="s">
        <v>526</v>
      </c>
      <c r="F14" s="182" t="s">
        <v>463</v>
      </c>
      <c r="G14" s="182" t="s">
        <v>449</v>
      </c>
      <c r="H14" s="182" t="s">
        <v>561</v>
      </c>
      <c r="I14" s="59" t="s">
        <v>310</v>
      </c>
      <c r="J14" s="182">
        <v>2026</v>
      </c>
      <c r="K14" s="185">
        <f t="shared" si="5"/>
        <v>10136.950000000001</v>
      </c>
      <c r="L14" s="119">
        <v>0</v>
      </c>
      <c r="M14" s="119">
        <v>0</v>
      </c>
      <c r="N14" s="119">
        <v>0</v>
      </c>
      <c r="O14" s="119">
        <v>10136.950000000001</v>
      </c>
      <c r="P14" s="119">
        <v>0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v>0</v>
      </c>
      <c r="W14" s="119">
        <v>0</v>
      </c>
      <c r="X14" s="119">
        <v>0</v>
      </c>
      <c r="Y14" s="56">
        <f t="shared" si="3"/>
        <v>10136.950000000001</v>
      </c>
      <c r="AF14" s="55" t="s">
        <v>172</v>
      </c>
    </row>
    <row r="15" spans="1:32" ht="76.5" x14ac:dyDescent="0.25">
      <c r="A15" s="43" t="s">
        <v>328</v>
      </c>
      <c r="B15" s="53" t="s">
        <v>564</v>
      </c>
      <c r="C15" s="54" t="s">
        <v>164</v>
      </c>
      <c r="D15" s="53" t="s">
        <v>165</v>
      </c>
      <c r="E15" s="182" t="s">
        <v>527</v>
      </c>
      <c r="F15" s="182" t="s">
        <v>463</v>
      </c>
      <c r="G15" s="182" t="s">
        <v>449</v>
      </c>
      <c r="H15" s="182" t="s">
        <v>561</v>
      </c>
      <c r="I15" s="59" t="s">
        <v>310</v>
      </c>
      <c r="J15" s="182">
        <v>2025</v>
      </c>
      <c r="K15" s="185">
        <f t="shared" si="5"/>
        <v>10830.08</v>
      </c>
      <c r="L15" s="119">
        <v>0</v>
      </c>
      <c r="M15" s="119">
        <v>0</v>
      </c>
      <c r="N15" s="119">
        <v>10830.08</v>
      </c>
      <c r="O15" s="119">
        <v>0</v>
      </c>
      <c r="P15" s="119">
        <v>0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v>0</v>
      </c>
      <c r="W15" s="119">
        <v>0</v>
      </c>
      <c r="X15" s="119">
        <v>0</v>
      </c>
      <c r="Y15" s="56">
        <f t="shared" si="3"/>
        <v>10830.08</v>
      </c>
      <c r="AF15" s="55" t="s">
        <v>172</v>
      </c>
    </row>
    <row r="16" spans="1:32" ht="76.5" x14ac:dyDescent="0.25">
      <c r="A16" s="43" t="s">
        <v>329</v>
      </c>
      <c r="B16" s="53" t="s">
        <v>564</v>
      </c>
      <c r="C16" s="54" t="s">
        <v>164</v>
      </c>
      <c r="D16" s="53" t="s">
        <v>165</v>
      </c>
      <c r="E16" s="182" t="s">
        <v>528</v>
      </c>
      <c r="F16" s="182" t="s">
        <v>463</v>
      </c>
      <c r="G16" s="182" t="s">
        <v>449</v>
      </c>
      <c r="H16" s="182" t="s">
        <v>561</v>
      </c>
      <c r="I16" s="59" t="s">
        <v>310</v>
      </c>
      <c r="J16" s="182">
        <v>2024</v>
      </c>
      <c r="K16" s="185">
        <f t="shared" si="5"/>
        <v>2080.44</v>
      </c>
      <c r="L16" s="119">
        <v>0</v>
      </c>
      <c r="M16" s="119">
        <v>2080.44</v>
      </c>
      <c r="N16" s="119">
        <v>0</v>
      </c>
      <c r="O16" s="119">
        <v>0</v>
      </c>
      <c r="P16" s="119">
        <v>0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v>0</v>
      </c>
      <c r="W16" s="119">
        <v>0</v>
      </c>
      <c r="X16" s="119">
        <v>0</v>
      </c>
      <c r="Y16" s="56">
        <f t="shared" si="3"/>
        <v>2080.44</v>
      </c>
      <c r="AF16" s="55" t="s">
        <v>172</v>
      </c>
    </row>
    <row r="17" spans="1:32" ht="76.5" x14ac:dyDescent="0.25">
      <c r="A17" s="43" t="s">
        <v>330</v>
      </c>
      <c r="B17" s="53" t="s">
        <v>564</v>
      </c>
      <c r="C17" s="54" t="s">
        <v>164</v>
      </c>
      <c r="D17" s="53" t="s">
        <v>165</v>
      </c>
      <c r="E17" s="182" t="s">
        <v>529</v>
      </c>
      <c r="F17" s="182" t="s">
        <v>463</v>
      </c>
      <c r="G17" s="182" t="s">
        <v>449</v>
      </c>
      <c r="H17" s="182" t="s">
        <v>561</v>
      </c>
      <c r="I17" s="59" t="s">
        <v>310</v>
      </c>
      <c r="J17" s="182">
        <v>2027</v>
      </c>
      <c r="K17" s="185">
        <f t="shared" si="5"/>
        <v>4685.53</v>
      </c>
      <c r="L17" s="119">
        <v>0</v>
      </c>
      <c r="M17" s="119">
        <v>0</v>
      </c>
      <c r="N17" s="119">
        <v>0</v>
      </c>
      <c r="O17" s="119">
        <v>0</v>
      </c>
      <c r="P17" s="119">
        <v>4685.53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v>0</v>
      </c>
      <c r="W17" s="119">
        <v>0</v>
      </c>
      <c r="X17" s="119">
        <v>0</v>
      </c>
      <c r="Y17" s="56">
        <f t="shared" si="3"/>
        <v>4685.53</v>
      </c>
      <c r="AF17" s="55" t="s">
        <v>172</v>
      </c>
    </row>
    <row r="18" spans="1:32" ht="76.5" x14ac:dyDescent="0.25">
      <c r="A18" s="43" t="s">
        <v>331</v>
      </c>
      <c r="B18" s="53" t="s">
        <v>564</v>
      </c>
      <c r="C18" s="54" t="s">
        <v>164</v>
      </c>
      <c r="D18" s="53" t="s">
        <v>165</v>
      </c>
      <c r="E18" s="182" t="s">
        <v>530</v>
      </c>
      <c r="F18" s="182" t="s">
        <v>531</v>
      </c>
      <c r="G18" s="182" t="s">
        <v>449</v>
      </c>
      <c r="H18" s="182" t="s">
        <v>561</v>
      </c>
      <c r="I18" s="59" t="s">
        <v>310</v>
      </c>
      <c r="J18" s="182">
        <v>2024</v>
      </c>
      <c r="K18" s="185">
        <f t="shared" si="5"/>
        <v>3075.84</v>
      </c>
      <c r="L18" s="119">
        <v>0</v>
      </c>
      <c r="M18" s="119">
        <v>3075.84</v>
      </c>
      <c r="N18" s="119">
        <v>0</v>
      </c>
      <c r="O18" s="119">
        <v>0</v>
      </c>
      <c r="P18" s="119">
        <v>0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v>0</v>
      </c>
      <c r="W18" s="119">
        <v>0</v>
      </c>
      <c r="X18" s="119">
        <v>0</v>
      </c>
      <c r="Y18" s="56">
        <f t="shared" si="3"/>
        <v>3075.84</v>
      </c>
      <c r="AF18" s="55" t="s">
        <v>172</v>
      </c>
    </row>
    <row r="19" spans="1:32" ht="153" x14ac:dyDescent="0.25">
      <c r="A19" s="43" t="s">
        <v>332</v>
      </c>
      <c r="B19" s="53" t="s">
        <v>564</v>
      </c>
      <c r="C19" s="54" t="s">
        <v>164</v>
      </c>
      <c r="D19" s="53" t="s">
        <v>165</v>
      </c>
      <c r="E19" s="182" t="s">
        <v>532</v>
      </c>
      <c r="F19" s="182" t="s">
        <v>533</v>
      </c>
      <c r="G19" s="182" t="s">
        <v>449</v>
      </c>
      <c r="H19" s="182" t="s">
        <v>561</v>
      </c>
      <c r="I19" s="59" t="s">
        <v>310</v>
      </c>
      <c r="J19" s="182">
        <v>2024</v>
      </c>
      <c r="K19" s="185">
        <f t="shared" si="5"/>
        <v>659.93</v>
      </c>
      <c r="L19" s="119">
        <v>0</v>
      </c>
      <c r="M19" s="119">
        <v>659.93</v>
      </c>
      <c r="N19" s="119">
        <v>0</v>
      </c>
      <c r="O19" s="119">
        <v>0</v>
      </c>
      <c r="P19" s="119">
        <v>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v>0</v>
      </c>
      <c r="W19" s="119">
        <v>0</v>
      </c>
      <c r="X19" s="119">
        <v>0</v>
      </c>
      <c r="Y19" s="56">
        <f t="shared" si="3"/>
        <v>659.93</v>
      </c>
      <c r="AF19" s="55" t="s">
        <v>172</v>
      </c>
    </row>
    <row r="20" spans="1:32" ht="127.5" x14ac:dyDescent="0.25">
      <c r="A20" s="43" t="s">
        <v>333</v>
      </c>
      <c r="B20" s="53" t="s">
        <v>564</v>
      </c>
      <c r="C20" s="54" t="s">
        <v>164</v>
      </c>
      <c r="D20" s="53" t="s">
        <v>165</v>
      </c>
      <c r="E20" s="182" t="s">
        <v>534</v>
      </c>
      <c r="F20" s="182" t="s">
        <v>535</v>
      </c>
      <c r="G20" s="182" t="s">
        <v>449</v>
      </c>
      <c r="H20" s="182" t="s">
        <v>561</v>
      </c>
      <c r="I20" s="59" t="s">
        <v>310</v>
      </c>
      <c r="J20" s="182">
        <v>2024</v>
      </c>
      <c r="K20" s="185">
        <f t="shared" si="5"/>
        <v>549.94000000000005</v>
      </c>
      <c r="L20" s="119">
        <v>0</v>
      </c>
      <c r="M20" s="119">
        <v>549.94000000000005</v>
      </c>
      <c r="N20" s="119">
        <v>0</v>
      </c>
      <c r="O20" s="119">
        <v>0</v>
      </c>
      <c r="P20" s="119">
        <v>0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v>0</v>
      </c>
      <c r="W20" s="119">
        <v>0</v>
      </c>
      <c r="X20" s="119">
        <v>0</v>
      </c>
      <c r="Y20" s="56">
        <f t="shared" si="3"/>
        <v>549.94000000000005</v>
      </c>
      <c r="AF20" s="55" t="s">
        <v>172</v>
      </c>
    </row>
    <row r="21" spans="1:32" ht="76.5" x14ac:dyDescent="0.25">
      <c r="A21" s="43" t="s">
        <v>334</v>
      </c>
      <c r="B21" s="53" t="s">
        <v>564</v>
      </c>
      <c r="C21" s="54" t="s">
        <v>164</v>
      </c>
      <c r="D21" s="53" t="s">
        <v>165</v>
      </c>
      <c r="E21" s="182" t="s">
        <v>536</v>
      </c>
      <c r="F21" s="182" t="s">
        <v>537</v>
      </c>
      <c r="G21" s="182" t="s">
        <v>449</v>
      </c>
      <c r="H21" s="182" t="s">
        <v>561</v>
      </c>
      <c r="I21" s="59" t="s">
        <v>310</v>
      </c>
      <c r="J21" s="182">
        <v>2025</v>
      </c>
      <c r="K21" s="185">
        <f t="shared" si="5"/>
        <v>229.46</v>
      </c>
      <c r="L21" s="119">
        <v>0</v>
      </c>
      <c r="M21" s="119">
        <v>0</v>
      </c>
      <c r="N21" s="119">
        <v>229.46</v>
      </c>
      <c r="O21" s="119">
        <v>0</v>
      </c>
      <c r="P21" s="119">
        <v>0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v>0</v>
      </c>
      <c r="W21" s="119">
        <v>0</v>
      </c>
      <c r="X21" s="119">
        <v>0</v>
      </c>
      <c r="Y21" s="56">
        <f t="shared" si="3"/>
        <v>229.46</v>
      </c>
      <c r="AF21" s="55" t="s">
        <v>172</v>
      </c>
    </row>
    <row r="22" spans="1:32" ht="153" x14ac:dyDescent="0.25">
      <c r="A22" s="43" t="s">
        <v>335</v>
      </c>
      <c r="B22" s="53" t="s">
        <v>564</v>
      </c>
      <c r="C22" s="54" t="s">
        <v>164</v>
      </c>
      <c r="D22" s="53" t="s">
        <v>165</v>
      </c>
      <c r="E22" s="182" t="s">
        <v>538</v>
      </c>
      <c r="F22" s="182" t="s">
        <v>539</v>
      </c>
      <c r="G22" s="182" t="s">
        <v>449</v>
      </c>
      <c r="H22" s="182" t="s">
        <v>561</v>
      </c>
      <c r="I22" s="59" t="s">
        <v>310</v>
      </c>
      <c r="J22" s="182">
        <v>2024</v>
      </c>
      <c r="K22" s="185">
        <f t="shared" si="5"/>
        <v>687.43</v>
      </c>
      <c r="L22" s="119">
        <v>0</v>
      </c>
      <c r="M22" s="119">
        <v>687.43</v>
      </c>
      <c r="N22" s="119">
        <v>0</v>
      </c>
      <c r="O22" s="119">
        <v>0</v>
      </c>
      <c r="P22" s="119">
        <v>0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v>0</v>
      </c>
      <c r="W22" s="119">
        <v>0</v>
      </c>
      <c r="X22" s="119">
        <v>0</v>
      </c>
      <c r="Y22" s="56">
        <f t="shared" si="3"/>
        <v>687.43</v>
      </c>
      <c r="AF22" s="55" t="s">
        <v>172</v>
      </c>
    </row>
    <row r="23" spans="1:32" ht="153" x14ac:dyDescent="0.25">
      <c r="A23" s="43" t="s">
        <v>336</v>
      </c>
      <c r="B23" s="53" t="s">
        <v>564</v>
      </c>
      <c r="C23" s="54" t="s">
        <v>164</v>
      </c>
      <c r="D23" s="53" t="s">
        <v>165</v>
      </c>
      <c r="E23" s="182" t="s">
        <v>540</v>
      </c>
      <c r="F23" s="182" t="s">
        <v>541</v>
      </c>
      <c r="G23" s="182" t="s">
        <v>449</v>
      </c>
      <c r="H23" s="182" t="s">
        <v>561</v>
      </c>
      <c r="I23" s="59" t="s">
        <v>310</v>
      </c>
      <c r="J23" s="182">
        <v>2025</v>
      </c>
      <c r="K23" s="185">
        <f t="shared" si="5"/>
        <v>429.83</v>
      </c>
      <c r="L23" s="119">
        <v>0</v>
      </c>
      <c r="M23" s="119">
        <v>0</v>
      </c>
      <c r="N23" s="119">
        <v>429.83</v>
      </c>
      <c r="O23" s="119">
        <v>0</v>
      </c>
      <c r="P23" s="119">
        <v>0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v>0</v>
      </c>
      <c r="W23" s="119">
        <v>0</v>
      </c>
      <c r="X23" s="119">
        <v>0</v>
      </c>
      <c r="Y23" s="56">
        <f t="shared" si="3"/>
        <v>429.83</v>
      </c>
      <c r="AF23" s="55" t="s">
        <v>172</v>
      </c>
    </row>
    <row r="24" spans="1:32" ht="76.5" x14ac:dyDescent="0.25">
      <c r="A24" s="43" t="s">
        <v>337</v>
      </c>
      <c r="B24" s="53" t="s">
        <v>564</v>
      </c>
      <c r="C24" s="54" t="s">
        <v>164</v>
      </c>
      <c r="D24" s="53" t="s">
        <v>162</v>
      </c>
      <c r="E24" s="182" t="s">
        <v>542</v>
      </c>
      <c r="F24" s="182" t="s">
        <v>543</v>
      </c>
      <c r="G24" s="182" t="s">
        <v>449</v>
      </c>
      <c r="H24" s="182" t="s">
        <v>561</v>
      </c>
      <c r="I24" s="59" t="s">
        <v>310</v>
      </c>
      <c r="J24" s="182" t="s">
        <v>556</v>
      </c>
      <c r="K24" s="185">
        <f t="shared" si="5"/>
        <v>65991.740000000005</v>
      </c>
      <c r="L24" s="119">
        <v>0</v>
      </c>
      <c r="M24" s="119">
        <v>0</v>
      </c>
      <c r="N24" s="119">
        <v>0</v>
      </c>
      <c r="O24" s="119">
        <v>0</v>
      </c>
      <c r="P24" s="119">
        <v>6235.76</v>
      </c>
      <c r="Q24" s="119">
        <v>6485.19</v>
      </c>
      <c r="R24" s="119">
        <v>6744.6</v>
      </c>
      <c r="S24" s="119">
        <v>7014.38</v>
      </c>
      <c r="T24" s="119">
        <v>7294.95</v>
      </c>
      <c r="U24" s="119">
        <v>7586.75</v>
      </c>
      <c r="V24" s="119">
        <v>7890.22</v>
      </c>
      <c r="W24" s="119">
        <v>8205.83</v>
      </c>
      <c r="X24" s="119">
        <v>8534.06</v>
      </c>
      <c r="Y24" s="56">
        <f t="shared" si="3"/>
        <v>65991.740000000005</v>
      </c>
      <c r="AF24" s="55" t="s">
        <v>156</v>
      </c>
    </row>
    <row r="25" spans="1:32" ht="76.5" x14ac:dyDescent="0.25">
      <c r="A25" s="43" t="s">
        <v>338</v>
      </c>
      <c r="B25" s="53" t="s">
        <v>564</v>
      </c>
      <c r="C25" s="54" t="s">
        <v>164</v>
      </c>
      <c r="D25" s="53" t="s">
        <v>162</v>
      </c>
      <c r="E25" s="182" t="s">
        <v>544</v>
      </c>
      <c r="F25" s="182" t="s">
        <v>507</v>
      </c>
      <c r="G25" s="182" t="s">
        <v>449</v>
      </c>
      <c r="H25" s="182" t="s">
        <v>561</v>
      </c>
      <c r="I25" s="59" t="s">
        <v>310</v>
      </c>
      <c r="J25" s="182" t="s">
        <v>557</v>
      </c>
      <c r="K25" s="185">
        <f t="shared" si="5"/>
        <v>16396.55</v>
      </c>
      <c r="L25" s="119">
        <v>0</v>
      </c>
      <c r="M25" s="119">
        <v>0</v>
      </c>
      <c r="N25" s="119">
        <v>0</v>
      </c>
      <c r="O25" s="119">
        <v>0</v>
      </c>
      <c r="P25" s="119">
        <v>0</v>
      </c>
      <c r="Q25" s="119">
        <v>0</v>
      </c>
      <c r="R25" s="119">
        <v>0</v>
      </c>
      <c r="S25" s="119">
        <v>0</v>
      </c>
      <c r="T25" s="119">
        <v>3027.25</v>
      </c>
      <c r="U25" s="119">
        <v>3148.34</v>
      </c>
      <c r="V25" s="119">
        <v>3274.27</v>
      </c>
      <c r="W25" s="119">
        <v>3405.24</v>
      </c>
      <c r="X25" s="119">
        <v>3541.45</v>
      </c>
      <c r="Y25" s="56">
        <f t="shared" si="3"/>
        <v>16396.55</v>
      </c>
      <c r="AF25" s="55" t="s">
        <v>156</v>
      </c>
    </row>
    <row r="26" spans="1:32" ht="76.5" x14ac:dyDescent="0.25">
      <c r="A26" s="43" t="s">
        <v>339</v>
      </c>
      <c r="B26" s="53" t="s">
        <v>564</v>
      </c>
      <c r="C26" s="54" t="s">
        <v>164</v>
      </c>
      <c r="D26" s="53" t="s">
        <v>165</v>
      </c>
      <c r="E26" s="182" t="s">
        <v>545</v>
      </c>
      <c r="F26" s="182" t="s">
        <v>546</v>
      </c>
      <c r="G26" s="182" t="s">
        <v>449</v>
      </c>
      <c r="H26" s="182" t="s">
        <v>561</v>
      </c>
      <c r="I26" s="59" t="s">
        <v>310</v>
      </c>
      <c r="J26" s="182" t="s">
        <v>558</v>
      </c>
      <c r="K26" s="185">
        <f t="shared" si="5"/>
        <v>40243.58</v>
      </c>
      <c r="L26" s="119">
        <v>0</v>
      </c>
      <c r="M26" s="119">
        <v>0</v>
      </c>
      <c r="N26" s="119">
        <v>0</v>
      </c>
      <c r="O26" s="119">
        <v>0</v>
      </c>
      <c r="P26" s="119">
        <v>0</v>
      </c>
      <c r="Q26" s="119">
        <v>0</v>
      </c>
      <c r="R26" s="119">
        <v>5095.22</v>
      </c>
      <c r="S26" s="119">
        <v>5299.03</v>
      </c>
      <c r="T26" s="119">
        <v>5511</v>
      </c>
      <c r="U26" s="119">
        <v>5731.44</v>
      </c>
      <c r="V26" s="119">
        <v>5960.69</v>
      </c>
      <c r="W26" s="119">
        <v>6199.12</v>
      </c>
      <c r="X26" s="119">
        <v>6447.08</v>
      </c>
      <c r="Y26" s="56">
        <f t="shared" si="3"/>
        <v>40243.58</v>
      </c>
      <c r="AF26" s="55" t="s">
        <v>156</v>
      </c>
    </row>
    <row r="27" spans="1:32" ht="114.75" x14ac:dyDescent="0.25">
      <c r="A27" s="43" t="s">
        <v>340</v>
      </c>
      <c r="B27" s="53" t="s">
        <v>564</v>
      </c>
      <c r="C27" s="54" t="s">
        <v>164</v>
      </c>
      <c r="D27" s="53" t="s">
        <v>154</v>
      </c>
      <c r="E27" s="182" t="s">
        <v>547</v>
      </c>
      <c r="F27" s="182" t="s">
        <v>548</v>
      </c>
      <c r="G27" s="182" t="s">
        <v>449</v>
      </c>
      <c r="H27" s="182" t="s">
        <v>562</v>
      </c>
      <c r="I27" s="59" t="s">
        <v>310</v>
      </c>
      <c r="J27" s="182" t="s">
        <v>315</v>
      </c>
      <c r="K27" s="185">
        <f t="shared" si="5"/>
        <v>5325.3499999999995</v>
      </c>
      <c r="L27" s="119">
        <v>0</v>
      </c>
      <c r="M27" s="119">
        <v>1704.7</v>
      </c>
      <c r="N27" s="119">
        <v>1774.83</v>
      </c>
      <c r="O27" s="119">
        <v>1845.82</v>
      </c>
      <c r="P27" s="119">
        <v>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v>0</v>
      </c>
      <c r="W27" s="119">
        <v>0</v>
      </c>
      <c r="X27" s="119">
        <v>0</v>
      </c>
      <c r="Y27" s="56">
        <f t="shared" si="3"/>
        <v>5325.3499999999995</v>
      </c>
      <c r="AF27" s="55" t="s">
        <v>156</v>
      </c>
    </row>
    <row r="28" spans="1:32" ht="76.5" x14ac:dyDescent="0.25">
      <c r="A28" s="43" t="s">
        <v>341</v>
      </c>
      <c r="B28" s="53" t="s">
        <v>564</v>
      </c>
      <c r="C28" s="54" t="s">
        <v>164</v>
      </c>
      <c r="D28" s="53" t="s">
        <v>165</v>
      </c>
      <c r="E28" s="182" t="s">
        <v>549</v>
      </c>
      <c r="F28" s="182" t="s">
        <v>112</v>
      </c>
      <c r="G28" s="182" t="s">
        <v>449</v>
      </c>
      <c r="H28" s="182" t="s">
        <v>563</v>
      </c>
      <c r="I28" s="59" t="s">
        <v>163</v>
      </c>
      <c r="J28" s="182">
        <v>2024</v>
      </c>
      <c r="K28" s="185">
        <f t="shared" si="5"/>
        <v>150000</v>
      </c>
      <c r="L28" s="119">
        <v>0</v>
      </c>
      <c r="M28" s="119">
        <v>150000</v>
      </c>
      <c r="N28" s="119">
        <v>0</v>
      </c>
      <c r="O28" s="119">
        <v>0</v>
      </c>
      <c r="P28" s="119">
        <v>0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v>0</v>
      </c>
      <c r="W28" s="119">
        <v>0</v>
      </c>
      <c r="X28" s="119">
        <v>0</v>
      </c>
      <c r="Y28" s="56">
        <f t="shared" si="3"/>
        <v>150000</v>
      </c>
      <c r="AF28" s="55" t="s">
        <v>156</v>
      </c>
    </row>
    <row r="29" spans="1:32" ht="76.5" x14ac:dyDescent="0.25">
      <c r="A29" s="43" t="s">
        <v>342</v>
      </c>
      <c r="B29" s="53" t="s">
        <v>564</v>
      </c>
      <c r="C29" s="54" t="s">
        <v>164</v>
      </c>
      <c r="D29" s="53" t="s">
        <v>165</v>
      </c>
      <c r="E29" s="182" t="s">
        <v>550</v>
      </c>
      <c r="F29" s="182" t="s">
        <v>112</v>
      </c>
      <c r="G29" s="182" t="s">
        <v>449</v>
      </c>
      <c r="H29" s="182" t="s">
        <v>563</v>
      </c>
      <c r="I29" s="59" t="s">
        <v>163</v>
      </c>
      <c r="J29" s="182">
        <v>2025</v>
      </c>
      <c r="K29" s="185">
        <f t="shared" si="5"/>
        <v>120000</v>
      </c>
      <c r="L29" s="119">
        <v>0</v>
      </c>
      <c r="M29" s="119">
        <v>0</v>
      </c>
      <c r="N29" s="119">
        <v>120000</v>
      </c>
      <c r="O29" s="119">
        <v>0</v>
      </c>
      <c r="P29" s="119">
        <v>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v>0</v>
      </c>
      <c r="W29" s="119">
        <v>0</v>
      </c>
      <c r="X29" s="119">
        <v>0</v>
      </c>
      <c r="Y29" s="56">
        <f t="shared" si="3"/>
        <v>120000</v>
      </c>
      <c r="AF29" s="55" t="s">
        <v>156</v>
      </c>
    </row>
    <row r="30" spans="1:32" ht="76.5" x14ac:dyDescent="0.25">
      <c r="A30" s="43" t="s">
        <v>343</v>
      </c>
      <c r="B30" s="53" t="s">
        <v>564</v>
      </c>
      <c r="C30" s="54" t="s">
        <v>164</v>
      </c>
      <c r="D30" s="53" t="s">
        <v>165</v>
      </c>
      <c r="E30" s="182" t="s">
        <v>551</v>
      </c>
      <c r="F30" s="182" t="s">
        <v>112</v>
      </c>
      <c r="G30" s="182" t="s">
        <v>449</v>
      </c>
      <c r="H30" s="182" t="s">
        <v>563</v>
      </c>
      <c r="I30" s="59" t="s">
        <v>163</v>
      </c>
      <c r="J30" s="182">
        <v>2023</v>
      </c>
      <c r="K30" s="185">
        <f t="shared" si="5"/>
        <v>50000</v>
      </c>
      <c r="L30" s="119">
        <v>50000</v>
      </c>
      <c r="M30" s="119">
        <v>0</v>
      </c>
      <c r="N30" s="119">
        <v>0</v>
      </c>
      <c r="O30" s="119">
        <v>0</v>
      </c>
      <c r="P30" s="119">
        <v>0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v>0</v>
      </c>
      <c r="W30" s="119">
        <v>0</v>
      </c>
      <c r="X30" s="119">
        <v>0</v>
      </c>
      <c r="Y30" s="56">
        <f t="shared" si="3"/>
        <v>50000</v>
      </c>
      <c r="AF30" s="55" t="s">
        <v>156</v>
      </c>
    </row>
    <row r="31" spans="1:32" ht="76.5" x14ac:dyDescent="0.25">
      <c r="A31" s="43" t="s">
        <v>344</v>
      </c>
      <c r="B31" s="53" t="s">
        <v>564</v>
      </c>
      <c r="C31" s="54" t="s">
        <v>164</v>
      </c>
      <c r="D31" s="53" t="s">
        <v>165</v>
      </c>
      <c r="E31" s="182" t="s">
        <v>552</v>
      </c>
      <c r="F31" s="182" t="s">
        <v>112</v>
      </c>
      <c r="G31" s="182" t="s">
        <v>449</v>
      </c>
      <c r="H31" s="182" t="s">
        <v>563</v>
      </c>
      <c r="I31" s="59" t="s">
        <v>163</v>
      </c>
      <c r="J31" s="182">
        <v>2024</v>
      </c>
      <c r="K31" s="185">
        <f t="shared" si="5"/>
        <v>23000</v>
      </c>
      <c r="L31" s="119">
        <v>0</v>
      </c>
      <c r="M31" s="119">
        <v>23000</v>
      </c>
      <c r="N31" s="119">
        <v>0</v>
      </c>
      <c r="O31" s="119">
        <v>0</v>
      </c>
      <c r="P31" s="119">
        <v>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v>0</v>
      </c>
      <c r="W31" s="119">
        <v>0</v>
      </c>
      <c r="X31" s="119">
        <v>0</v>
      </c>
      <c r="Y31" s="56">
        <f t="shared" si="3"/>
        <v>23000</v>
      </c>
      <c r="AF31" s="55" t="s">
        <v>156</v>
      </c>
    </row>
    <row r="32" spans="1:32" ht="76.5" x14ac:dyDescent="0.25">
      <c r="A32" s="43" t="s">
        <v>345</v>
      </c>
      <c r="B32" s="53" t="s">
        <v>564</v>
      </c>
      <c r="C32" s="54" t="s">
        <v>164</v>
      </c>
      <c r="D32" s="53" t="s">
        <v>165</v>
      </c>
      <c r="E32" s="182" t="s">
        <v>553</v>
      </c>
      <c r="F32" s="182">
        <v>1.4</v>
      </c>
      <c r="G32" s="182" t="s">
        <v>449</v>
      </c>
      <c r="H32" s="182" t="s">
        <v>563</v>
      </c>
      <c r="I32" s="59" t="s">
        <v>163</v>
      </c>
      <c r="J32" s="182">
        <v>2026</v>
      </c>
      <c r="K32" s="185">
        <f t="shared" si="5"/>
        <v>43867.46</v>
      </c>
      <c r="L32" s="119">
        <v>0</v>
      </c>
      <c r="M32" s="119">
        <v>0</v>
      </c>
      <c r="N32" s="119">
        <v>0</v>
      </c>
      <c r="O32" s="119">
        <v>43867.46</v>
      </c>
      <c r="P32" s="119">
        <v>0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v>0</v>
      </c>
      <c r="W32" s="119">
        <v>0</v>
      </c>
      <c r="X32" s="119">
        <v>0</v>
      </c>
      <c r="Y32" s="56">
        <f t="shared" si="3"/>
        <v>43867.46</v>
      </c>
      <c r="AF32" s="55" t="s">
        <v>156</v>
      </c>
    </row>
    <row r="33" spans="1:32" ht="76.5" x14ac:dyDescent="0.25">
      <c r="A33" s="43" t="s">
        <v>346</v>
      </c>
      <c r="B33" s="53" t="s">
        <v>564</v>
      </c>
      <c r="C33" s="54" t="s">
        <v>164</v>
      </c>
      <c r="D33" s="53" t="s">
        <v>165</v>
      </c>
      <c r="E33" s="182" t="s">
        <v>554</v>
      </c>
      <c r="F33" s="182">
        <v>0.8</v>
      </c>
      <c r="G33" s="182" t="s">
        <v>449</v>
      </c>
      <c r="H33" s="182" t="s">
        <v>563</v>
      </c>
      <c r="I33" s="59" t="s">
        <v>163</v>
      </c>
      <c r="J33" s="182">
        <v>2025</v>
      </c>
      <c r="K33" s="185">
        <f t="shared" si="5"/>
        <v>18014.3</v>
      </c>
      <c r="L33" s="119">
        <v>0</v>
      </c>
      <c r="M33" s="119">
        <v>0</v>
      </c>
      <c r="N33" s="119">
        <v>18014.3</v>
      </c>
      <c r="O33" s="119">
        <v>0</v>
      </c>
      <c r="P33" s="119">
        <v>0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v>0</v>
      </c>
      <c r="W33" s="119">
        <v>0</v>
      </c>
      <c r="X33" s="119">
        <v>0</v>
      </c>
      <c r="Y33" s="56">
        <f t="shared" si="3"/>
        <v>18014.3</v>
      </c>
      <c r="AF33" s="55" t="s">
        <v>156</v>
      </c>
    </row>
    <row r="34" spans="1:32" ht="76.5" x14ac:dyDescent="0.25">
      <c r="A34" s="43" t="s">
        <v>347</v>
      </c>
      <c r="B34" s="53" t="s">
        <v>564</v>
      </c>
      <c r="C34" s="54" t="s">
        <v>164</v>
      </c>
      <c r="D34" s="53" t="s">
        <v>165</v>
      </c>
      <c r="E34" s="182" t="s">
        <v>555</v>
      </c>
      <c r="F34" s="182" t="s">
        <v>112</v>
      </c>
      <c r="G34" s="182" t="s">
        <v>449</v>
      </c>
      <c r="H34" s="182" t="s">
        <v>563</v>
      </c>
      <c r="I34" s="59" t="s">
        <v>163</v>
      </c>
      <c r="J34" s="182">
        <v>2026</v>
      </c>
      <c r="K34" s="185">
        <f t="shared" si="5"/>
        <v>25000</v>
      </c>
      <c r="L34" s="119">
        <v>0</v>
      </c>
      <c r="M34" s="119">
        <v>0</v>
      </c>
      <c r="N34" s="119">
        <v>0</v>
      </c>
      <c r="O34" s="119">
        <v>25000</v>
      </c>
      <c r="P34" s="119">
        <v>0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v>0</v>
      </c>
      <c r="W34" s="119">
        <v>0</v>
      </c>
      <c r="X34" s="119">
        <v>0</v>
      </c>
      <c r="Y34" s="56">
        <f t="shared" si="3"/>
        <v>25000</v>
      </c>
      <c r="AF34" s="55" t="s">
        <v>156</v>
      </c>
    </row>
    <row r="35" spans="1:32" x14ac:dyDescent="0.25">
      <c r="A35" s="432" t="s">
        <v>151</v>
      </c>
      <c r="B35" s="432"/>
      <c r="C35" s="432"/>
      <c r="D35" s="432"/>
      <c r="E35" s="432"/>
      <c r="F35" s="432"/>
      <c r="G35" s="432"/>
      <c r="H35" s="432"/>
      <c r="I35" s="432"/>
      <c r="J35" s="432"/>
      <c r="K35" s="56">
        <f t="shared" ref="K35:Y35" si="6">K10+K3</f>
        <v>1277534.3919708936</v>
      </c>
      <c r="L35" s="56">
        <f t="shared" si="6"/>
        <v>50000</v>
      </c>
      <c r="M35" s="56">
        <f t="shared" si="6"/>
        <v>241484.43601065714</v>
      </c>
      <c r="N35" s="56">
        <f t="shared" si="6"/>
        <v>819973.14006745792</v>
      </c>
      <c r="O35" s="56">
        <f t="shared" si="6"/>
        <v>152292.65567015641</v>
      </c>
      <c r="P35" s="56">
        <f t="shared" si="6"/>
        <v>96935.222696962679</v>
      </c>
      <c r="Q35" s="56">
        <f t="shared" si="6"/>
        <v>187707.50261808079</v>
      </c>
      <c r="R35" s="56">
        <f t="shared" si="6"/>
        <v>200311.02232280403</v>
      </c>
      <c r="S35" s="56">
        <f t="shared" si="6"/>
        <v>208323.46521571622</v>
      </c>
      <c r="T35" s="56">
        <f t="shared" si="6"/>
        <v>219683.65462434487</v>
      </c>
      <c r="U35" s="56">
        <f t="shared" si="6"/>
        <v>228471.00720931866</v>
      </c>
      <c r="V35" s="56">
        <f t="shared" si="6"/>
        <v>307856.90444806498</v>
      </c>
      <c r="W35" s="56">
        <f t="shared" si="6"/>
        <v>311627.05979319819</v>
      </c>
      <c r="X35" s="56">
        <f t="shared" si="6"/>
        <v>248112.91031028205</v>
      </c>
      <c r="Y35" s="56">
        <f t="shared" si="6"/>
        <v>3272778.9809870441</v>
      </c>
    </row>
    <row r="36" spans="1:32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</row>
  </sheetData>
  <mergeCells count="16">
    <mergeCell ref="L1:Y1"/>
    <mergeCell ref="AF1:AF2"/>
    <mergeCell ref="A35:J35"/>
    <mergeCell ref="B3:J3"/>
    <mergeCell ref="A1:A2"/>
    <mergeCell ref="K1:K2"/>
    <mergeCell ref="B1:B2"/>
    <mergeCell ref="H1:H2"/>
    <mergeCell ref="I1:I2"/>
    <mergeCell ref="J1:J2"/>
    <mergeCell ref="C1:C2"/>
    <mergeCell ref="D1:D2"/>
    <mergeCell ref="E1:E2"/>
    <mergeCell ref="F1:F2"/>
    <mergeCell ref="G1:G2"/>
    <mergeCell ref="B10:J10"/>
  </mergeCells>
  <phoneticPr fontId="33" type="noConversion"/>
  <dataValidations count="5">
    <dataValidation type="list" allowBlank="1" showInputMessage="1" showErrorMessage="1" sqref="I11:I34 I4:I9">
      <formula1>Фин</formula1>
    </dataValidation>
    <dataValidation type="list" allowBlank="1" showInputMessage="1" showErrorMessage="1" sqref="B11:B34 B4:B9">
      <formula1>РСО</formula1>
    </dataValidation>
    <dataValidation type="list" allowBlank="1" showInputMessage="1" showErrorMessage="1" sqref="D11:D34 D4:D9">
      <formula1>Сроки</formula1>
    </dataValidation>
    <dataValidation type="list" allowBlank="1" showInputMessage="1" showErrorMessage="1" sqref="C11:C34 C4:C9">
      <formula1>Группа</formula1>
    </dataValidation>
    <dataValidation type="list" allowBlank="1" showInputMessage="1" showErrorMessage="1" sqref="AF4:AF34">
      <formula1>"Сети, ОСК, КНС"</formula1>
    </dataValidation>
  </dataValidations>
  <pageMargins left="0.7" right="0.7" top="0.75" bottom="0.75" header="0.3" footer="0.3"/>
  <pageSetup paperSize="9" scale="2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zoomScale="70" zoomScaleNormal="70" workbookViewId="0">
      <pane ySplit="2" topLeftCell="A3" activePane="bottomLeft" state="frozen"/>
      <selection pane="bottomLeft" activeCell="C7" sqref="C7"/>
    </sheetView>
  </sheetViews>
  <sheetFormatPr defaultColWidth="8.83203125" defaultRowHeight="15" x14ac:dyDescent="0.25"/>
  <cols>
    <col min="1" max="1" width="8.83203125" style="6"/>
    <col min="2" max="2" width="20.33203125" style="6" hidden="1" customWidth="1"/>
    <col min="3" max="3" width="28.1640625" style="6" customWidth="1"/>
    <col min="4" max="4" width="18.33203125" style="6" hidden="1" customWidth="1"/>
    <col min="5" max="5" width="40.83203125" style="6" customWidth="1"/>
    <col min="6" max="6" width="22.5" style="6" customWidth="1"/>
    <col min="7" max="7" width="59.5" style="6" customWidth="1"/>
    <col min="8" max="8" width="22" style="6" customWidth="1"/>
    <col min="9" max="9" width="16.33203125" style="6" customWidth="1"/>
    <col min="10" max="10" width="18.6640625" style="6" customWidth="1"/>
    <col min="11" max="11" width="18.5" style="6" customWidth="1"/>
    <col min="12" max="12" width="21.33203125" style="6" customWidth="1"/>
    <col min="13" max="13" width="10.5" style="6" customWidth="1"/>
    <col min="14" max="14" width="13.1640625" style="6" customWidth="1"/>
    <col min="15" max="21" width="10.5" style="6" customWidth="1"/>
    <col min="22" max="25" width="10.5" style="6" hidden="1" customWidth="1"/>
    <col min="26" max="26" width="10.5" style="6" customWidth="1"/>
    <col min="27" max="30" width="10.5" style="6" hidden="1" customWidth="1"/>
    <col min="31" max="31" width="10.5" style="6" customWidth="1"/>
    <col min="32" max="32" width="17" style="6" customWidth="1"/>
    <col min="33" max="16384" width="8.83203125" style="6"/>
  </cols>
  <sheetData>
    <row r="1" spans="1:33" x14ac:dyDescent="0.25">
      <c r="A1" s="438" t="s">
        <v>36</v>
      </c>
      <c r="B1" s="440" t="s">
        <v>140</v>
      </c>
      <c r="C1" s="439" t="s">
        <v>141</v>
      </c>
      <c r="D1" s="439" t="s">
        <v>142</v>
      </c>
      <c r="E1" s="438" t="s">
        <v>143</v>
      </c>
      <c r="F1" s="437" t="s">
        <v>144</v>
      </c>
      <c r="G1" s="438" t="s">
        <v>182</v>
      </c>
      <c r="H1" s="438" t="s">
        <v>183</v>
      </c>
      <c r="I1" s="425" t="s">
        <v>146</v>
      </c>
      <c r="J1" s="425" t="s">
        <v>176</v>
      </c>
      <c r="K1" s="439" t="s">
        <v>147</v>
      </c>
      <c r="L1" s="421" t="s">
        <v>390</v>
      </c>
      <c r="M1" s="437" t="s">
        <v>311</v>
      </c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</row>
    <row r="2" spans="1:33" x14ac:dyDescent="0.25">
      <c r="A2" s="438"/>
      <c r="B2" s="440"/>
      <c r="C2" s="439"/>
      <c r="D2" s="439"/>
      <c r="E2" s="438"/>
      <c r="F2" s="437"/>
      <c r="G2" s="438"/>
      <c r="H2" s="438"/>
      <c r="I2" s="425"/>
      <c r="J2" s="425"/>
      <c r="K2" s="439"/>
      <c r="L2" s="421"/>
      <c r="M2" s="5">
        <v>2022</v>
      </c>
      <c r="N2" s="5">
        <v>2023</v>
      </c>
      <c r="O2" s="5">
        <v>2024</v>
      </c>
      <c r="P2" s="5">
        <v>2025</v>
      </c>
      <c r="Q2" s="5">
        <v>2026</v>
      </c>
      <c r="R2" s="5">
        <v>2027</v>
      </c>
      <c r="S2" s="5">
        <v>2028</v>
      </c>
      <c r="T2" s="5">
        <v>2029</v>
      </c>
      <c r="U2" s="5">
        <v>2030</v>
      </c>
      <c r="V2" s="5">
        <v>2031</v>
      </c>
      <c r="W2" s="5">
        <v>2032</v>
      </c>
      <c r="X2" s="5">
        <v>2033</v>
      </c>
      <c r="Y2" s="5">
        <v>2034</v>
      </c>
      <c r="Z2" s="5">
        <v>2035</v>
      </c>
      <c r="AA2" s="5">
        <v>2036</v>
      </c>
      <c r="AB2" s="5">
        <v>2037</v>
      </c>
      <c r="AC2" s="5">
        <v>2038</v>
      </c>
      <c r="AD2" s="5">
        <v>2039</v>
      </c>
      <c r="AE2" s="5">
        <v>2040</v>
      </c>
      <c r="AF2" s="33" t="s">
        <v>177</v>
      </c>
    </row>
    <row r="3" spans="1:33" x14ac:dyDescent="0.25">
      <c r="A3" s="187">
        <v>1</v>
      </c>
      <c r="B3" s="423" t="s">
        <v>184</v>
      </c>
      <c r="C3" s="423"/>
      <c r="D3" s="423"/>
      <c r="E3" s="423"/>
      <c r="F3" s="423"/>
      <c r="G3" s="423"/>
      <c r="H3" s="423"/>
      <c r="I3" s="423"/>
      <c r="J3" s="423"/>
      <c r="K3" s="423"/>
      <c r="L3" s="52">
        <f t="shared" ref="L3:AF3" si="0">SUM(L4:L5)</f>
        <v>0</v>
      </c>
      <c r="M3" s="52">
        <f t="shared" si="0"/>
        <v>0</v>
      </c>
      <c r="N3" s="52">
        <f t="shared" si="0"/>
        <v>0</v>
      </c>
      <c r="O3" s="52">
        <f t="shared" si="0"/>
        <v>0</v>
      </c>
      <c r="P3" s="52">
        <f t="shared" si="0"/>
        <v>0</v>
      </c>
      <c r="Q3" s="52">
        <f t="shared" si="0"/>
        <v>0</v>
      </c>
      <c r="R3" s="52">
        <f t="shared" si="0"/>
        <v>0</v>
      </c>
      <c r="S3" s="52">
        <f t="shared" si="0"/>
        <v>0</v>
      </c>
      <c r="T3" s="52">
        <f t="shared" si="0"/>
        <v>0</v>
      </c>
      <c r="U3" s="52">
        <f t="shared" si="0"/>
        <v>0</v>
      </c>
      <c r="V3" s="52">
        <f t="shared" si="0"/>
        <v>0</v>
      </c>
      <c r="W3" s="52">
        <f t="shared" si="0"/>
        <v>0</v>
      </c>
      <c r="X3" s="52">
        <f t="shared" si="0"/>
        <v>0</v>
      </c>
      <c r="Y3" s="52">
        <f t="shared" si="0"/>
        <v>0</v>
      </c>
      <c r="Z3" s="52">
        <f t="shared" si="0"/>
        <v>0</v>
      </c>
      <c r="AA3" s="52">
        <f t="shared" si="0"/>
        <v>0</v>
      </c>
      <c r="AB3" s="52">
        <f t="shared" si="0"/>
        <v>0</v>
      </c>
      <c r="AC3" s="52">
        <f t="shared" si="0"/>
        <v>0</v>
      </c>
      <c r="AD3" s="52">
        <f t="shared" si="0"/>
        <v>0</v>
      </c>
      <c r="AE3" s="52">
        <f t="shared" si="0"/>
        <v>0</v>
      </c>
      <c r="AF3" s="52">
        <f t="shared" si="0"/>
        <v>0</v>
      </c>
    </row>
    <row r="4" spans="1:33" x14ac:dyDescent="0.25">
      <c r="A4" s="43" t="s">
        <v>115</v>
      </c>
      <c r="B4" s="58"/>
      <c r="C4" s="57"/>
      <c r="D4" s="57"/>
      <c r="E4" s="43"/>
      <c r="F4" s="46"/>
      <c r="G4" s="101"/>
      <c r="H4" s="43"/>
      <c r="I4" s="43"/>
      <c r="J4" s="43"/>
      <c r="K4" s="59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52"/>
      <c r="AG4" s="34"/>
    </row>
    <row r="5" spans="1:33" x14ac:dyDescent="0.25">
      <c r="A5" s="43" t="s">
        <v>116</v>
      </c>
      <c r="B5" s="58"/>
      <c r="C5" s="57"/>
      <c r="D5" s="57"/>
      <c r="E5" s="43"/>
      <c r="F5" s="43"/>
      <c r="G5" s="101"/>
      <c r="H5" s="43"/>
      <c r="I5" s="43"/>
      <c r="J5" s="43"/>
      <c r="K5" s="59"/>
      <c r="L5" s="115"/>
      <c r="M5" s="52"/>
      <c r="N5" s="52"/>
      <c r="O5" s="115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34"/>
    </row>
    <row r="6" spans="1:33" x14ac:dyDescent="0.25">
      <c r="A6" s="35">
        <v>2</v>
      </c>
      <c r="B6" s="423" t="s">
        <v>187</v>
      </c>
      <c r="C6" s="423"/>
      <c r="D6" s="423"/>
      <c r="E6" s="423"/>
      <c r="F6" s="423"/>
      <c r="G6" s="423"/>
      <c r="H6" s="423"/>
      <c r="I6" s="423"/>
      <c r="J6" s="423"/>
      <c r="K6" s="423"/>
      <c r="L6" s="42">
        <f t="shared" ref="L6:AF6" si="1">SUM(L7:L20)</f>
        <v>0</v>
      </c>
      <c r="M6" s="42">
        <f t="shared" si="1"/>
        <v>0</v>
      </c>
      <c r="N6" s="42">
        <f t="shared" si="1"/>
        <v>0</v>
      </c>
      <c r="O6" s="42">
        <f t="shared" si="1"/>
        <v>0</v>
      </c>
      <c r="P6" s="42">
        <f t="shared" si="1"/>
        <v>0</v>
      </c>
      <c r="Q6" s="42">
        <f t="shared" si="1"/>
        <v>0</v>
      </c>
      <c r="R6" s="42">
        <f t="shared" si="1"/>
        <v>0</v>
      </c>
      <c r="S6" s="42">
        <f t="shared" si="1"/>
        <v>0</v>
      </c>
      <c r="T6" s="42">
        <f t="shared" si="1"/>
        <v>0</v>
      </c>
      <c r="U6" s="42">
        <f t="shared" si="1"/>
        <v>0</v>
      </c>
      <c r="V6" s="42">
        <f t="shared" si="1"/>
        <v>0</v>
      </c>
      <c r="W6" s="42">
        <f t="shared" si="1"/>
        <v>0</v>
      </c>
      <c r="X6" s="42">
        <f t="shared" si="1"/>
        <v>0</v>
      </c>
      <c r="Y6" s="42">
        <f t="shared" si="1"/>
        <v>0</v>
      </c>
      <c r="Z6" s="42">
        <f t="shared" si="1"/>
        <v>0</v>
      </c>
      <c r="AA6" s="42">
        <f t="shared" si="1"/>
        <v>0</v>
      </c>
      <c r="AB6" s="42">
        <f t="shared" si="1"/>
        <v>0</v>
      </c>
      <c r="AC6" s="42">
        <f t="shared" si="1"/>
        <v>0</v>
      </c>
      <c r="AD6" s="42">
        <f t="shared" si="1"/>
        <v>0</v>
      </c>
      <c r="AE6" s="42">
        <f t="shared" si="1"/>
        <v>0</v>
      </c>
      <c r="AF6" s="42">
        <f t="shared" si="1"/>
        <v>0</v>
      </c>
      <c r="AG6" s="34"/>
    </row>
    <row r="7" spans="1:33" ht="38.25" x14ac:dyDescent="0.25">
      <c r="A7" s="117" t="s">
        <v>119</v>
      </c>
      <c r="B7" s="58" t="s">
        <v>389</v>
      </c>
      <c r="C7" s="199" t="s">
        <v>164</v>
      </c>
      <c r="D7" s="199" t="s">
        <v>165</v>
      </c>
      <c r="E7" s="43"/>
      <c r="F7" s="43"/>
      <c r="G7" s="43"/>
      <c r="H7" s="43"/>
      <c r="I7" s="43"/>
      <c r="J7" s="43"/>
      <c r="K7" s="59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60"/>
      <c r="AG7" s="34"/>
    </row>
    <row r="8" spans="1:33" ht="38.25" x14ac:dyDescent="0.25">
      <c r="A8" s="117" t="s">
        <v>121</v>
      </c>
      <c r="B8" s="58" t="s">
        <v>389</v>
      </c>
      <c r="C8" s="199" t="s">
        <v>164</v>
      </c>
      <c r="D8" s="199" t="s">
        <v>165</v>
      </c>
      <c r="E8" s="43"/>
      <c r="F8" s="43"/>
      <c r="G8" s="43"/>
      <c r="H8" s="43"/>
      <c r="I8" s="43"/>
      <c r="J8" s="43"/>
      <c r="K8" s="59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60"/>
      <c r="AG8" s="34"/>
    </row>
    <row r="9" spans="1:33" ht="38.25" x14ac:dyDescent="0.25">
      <c r="A9" s="117" t="s">
        <v>138</v>
      </c>
      <c r="B9" s="58" t="s">
        <v>389</v>
      </c>
      <c r="C9" s="199" t="s">
        <v>164</v>
      </c>
      <c r="D9" s="199" t="s">
        <v>165</v>
      </c>
      <c r="E9" s="43"/>
      <c r="F9" s="43"/>
      <c r="G9" s="43"/>
      <c r="H9" s="43"/>
      <c r="I9" s="43"/>
      <c r="J9" s="43"/>
      <c r="K9" s="59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60"/>
      <c r="AG9" s="34"/>
    </row>
    <row r="10" spans="1:33" ht="38.25" x14ac:dyDescent="0.25">
      <c r="A10" s="117" t="s">
        <v>139</v>
      </c>
      <c r="B10" s="58" t="s">
        <v>389</v>
      </c>
      <c r="C10" s="199" t="s">
        <v>164</v>
      </c>
      <c r="D10" s="199" t="s">
        <v>165</v>
      </c>
      <c r="E10" s="43"/>
      <c r="F10" s="43"/>
      <c r="G10" s="43"/>
      <c r="H10" s="43"/>
      <c r="I10" s="43"/>
      <c r="J10" s="43"/>
      <c r="K10" s="59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60"/>
      <c r="AG10" s="34"/>
    </row>
    <row r="11" spans="1:33" ht="38.25" x14ac:dyDescent="0.25">
      <c r="A11" s="117" t="s">
        <v>328</v>
      </c>
      <c r="B11" s="58" t="s">
        <v>389</v>
      </c>
      <c r="C11" s="199" t="s">
        <v>164</v>
      </c>
      <c r="D11" s="199" t="s">
        <v>165</v>
      </c>
      <c r="E11" s="43"/>
      <c r="F11" s="43"/>
      <c r="G11" s="43"/>
      <c r="H11" s="43"/>
      <c r="I11" s="43"/>
      <c r="J11" s="43"/>
      <c r="K11" s="59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60"/>
      <c r="AG11" s="34"/>
    </row>
    <row r="12" spans="1:33" ht="38.25" x14ac:dyDescent="0.25">
      <c r="A12" s="117" t="s">
        <v>329</v>
      </c>
      <c r="B12" s="58" t="s">
        <v>389</v>
      </c>
      <c r="C12" s="199" t="s">
        <v>164</v>
      </c>
      <c r="D12" s="199" t="s">
        <v>165</v>
      </c>
      <c r="E12" s="43"/>
      <c r="F12" s="43"/>
      <c r="G12" s="43"/>
      <c r="H12" s="43"/>
      <c r="I12" s="43"/>
      <c r="J12" s="43"/>
      <c r="K12" s="59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60"/>
      <c r="AG12" s="34"/>
    </row>
    <row r="13" spans="1:33" ht="38.25" x14ac:dyDescent="0.25">
      <c r="A13" s="117" t="s">
        <v>330</v>
      </c>
      <c r="B13" s="58" t="s">
        <v>389</v>
      </c>
      <c r="C13" s="199" t="s">
        <v>164</v>
      </c>
      <c r="D13" s="199" t="s">
        <v>165</v>
      </c>
      <c r="E13" s="43"/>
      <c r="F13" s="43"/>
      <c r="G13" s="43"/>
      <c r="H13" s="43"/>
      <c r="I13" s="43"/>
      <c r="J13" s="43"/>
      <c r="K13" s="59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60"/>
      <c r="AG13" s="34"/>
    </row>
    <row r="14" spans="1:33" ht="38.25" x14ac:dyDescent="0.25">
      <c r="A14" s="117" t="s">
        <v>331</v>
      </c>
      <c r="B14" s="58" t="s">
        <v>389</v>
      </c>
      <c r="C14" s="199" t="s">
        <v>164</v>
      </c>
      <c r="D14" s="199" t="s">
        <v>165</v>
      </c>
      <c r="E14" s="43"/>
      <c r="F14" s="43"/>
      <c r="G14" s="43"/>
      <c r="H14" s="43"/>
      <c r="I14" s="43"/>
      <c r="J14" s="43"/>
      <c r="K14" s="59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60"/>
      <c r="AG14" s="34"/>
    </row>
    <row r="15" spans="1:33" ht="38.25" x14ac:dyDescent="0.25">
      <c r="A15" s="117" t="s">
        <v>332</v>
      </c>
      <c r="B15" s="58" t="s">
        <v>389</v>
      </c>
      <c r="C15" s="199" t="s">
        <v>164</v>
      </c>
      <c r="D15" s="199" t="s">
        <v>165</v>
      </c>
      <c r="E15" s="43"/>
      <c r="F15" s="43"/>
      <c r="G15" s="43"/>
      <c r="H15" s="43"/>
      <c r="I15" s="43"/>
      <c r="J15" s="43"/>
      <c r="K15" s="59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60"/>
      <c r="AG15" s="34"/>
    </row>
    <row r="16" spans="1:33" ht="38.25" x14ac:dyDescent="0.25">
      <c r="A16" s="117" t="s">
        <v>333</v>
      </c>
      <c r="B16" s="58" t="s">
        <v>389</v>
      </c>
      <c r="C16" s="199" t="s">
        <v>164</v>
      </c>
      <c r="D16" s="199" t="s">
        <v>165</v>
      </c>
      <c r="E16" s="43"/>
      <c r="F16" s="43"/>
      <c r="G16" s="43"/>
      <c r="H16" s="43"/>
      <c r="I16" s="43"/>
      <c r="J16" s="43"/>
      <c r="K16" s="59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60"/>
      <c r="AG16" s="34"/>
    </row>
    <row r="17" spans="1:33" ht="38.25" x14ac:dyDescent="0.25">
      <c r="A17" s="117" t="s">
        <v>334</v>
      </c>
      <c r="B17" s="58" t="s">
        <v>389</v>
      </c>
      <c r="C17" s="199" t="s">
        <v>164</v>
      </c>
      <c r="D17" s="199" t="s">
        <v>165</v>
      </c>
      <c r="E17" s="43"/>
      <c r="F17" s="43"/>
      <c r="G17" s="43"/>
      <c r="H17" s="43"/>
      <c r="I17" s="43"/>
      <c r="J17" s="43"/>
      <c r="K17" s="59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60"/>
      <c r="AG17" s="34"/>
    </row>
    <row r="18" spans="1:33" ht="38.25" x14ac:dyDescent="0.25">
      <c r="A18" s="117" t="s">
        <v>335</v>
      </c>
      <c r="B18" s="58" t="s">
        <v>389</v>
      </c>
      <c r="C18" s="199" t="s">
        <v>164</v>
      </c>
      <c r="D18" s="199" t="s">
        <v>165</v>
      </c>
      <c r="E18" s="43"/>
      <c r="F18" s="43"/>
      <c r="G18" s="43"/>
      <c r="H18" s="43"/>
      <c r="I18" s="43"/>
      <c r="J18" s="43"/>
      <c r="K18" s="59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60"/>
      <c r="AG18" s="34"/>
    </row>
    <row r="19" spans="1:33" ht="38.25" x14ac:dyDescent="0.25">
      <c r="A19" s="117" t="s">
        <v>336</v>
      </c>
      <c r="B19" s="58" t="s">
        <v>389</v>
      </c>
      <c r="C19" s="199" t="s">
        <v>164</v>
      </c>
      <c r="D19" s="199" t="s">
        <v>165</v>
      </c>
      <c r="E19" s="43"/>
      <c r="F19" s="43"/>
      <c r="G19" s="43"/>
      <c r="H19" s="43"/>
      <c r="I19" s="43"/>
      <c r="J19" s="43"/>
      <c r="K19" s="59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60"/>
      <c r="AG19" s="34"/>
    </row>
    <row r="20" spans="1:33" ht="38.25" x14ac:dyDescent="0.25">
      <c r="A20" s="117" t="s">
        <v>337</v>
      </c>
      <c r="B20" s="58" t="s">
        <v>389</v>
      </c>
      <c r="C20" s="199" t="s">
        <v>164</v>
      </c>
      <c r="D20" s="199" t="s">
        <v>165</v>
      </c>
      <c r="E20" s="43"/>
      <c r="F20" s="43"/>
      <c r="G20" s="43"/>
      <c r="H20" s="43"/>
      <c r="I20" s="43"/>
      <c r="J20" s="43"/>
      <c r="K20" s="59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60"/>
      <c r="AG20" s="34"/>
    </row>
    <row r="21" spans="1:33" x14ac:dyDescent="0.25">
      <c r="A21" s="436" t="s">
        <v>170</v>
      </c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60">
        <f t="shared" ref="L21:AF21" si="2">L6+L3</f>
        <v>0</v>
      </c>
      <c r="M21" s="60">
        <f t="shared" si="2"/>
        <v>0</v>
      </c>
      <c r="N21" s="60">
        <f t="shared" si="2"/>
        <v>0</v>
      </c>
      <c r="O21" s="60">
        <f t="shared" si="2"/>
        <v>0</v>
      </c>
      <c r="P21" s="60">
        <f t="shared" si="2"/>
        <v>0</v>
      </c>
      <c r="Q21" s="60">
        <f t="shared" si="2"/>
        <v>0</v>
      </c>
      <c r="R21" s="60">
        <f t="shared" si="2"/>
        <v>0</v>
      </c>
      <c r="S21" s="60">
        <f t="shared" si="2"/>
        <v>0</v>
      </c>
      <c r="T21" s="60">
        <f t="shared" si="2"/>
        <v>0</v>
      </c>
      <c r="U21" s="60">
        <f t="shared" si="2"/>
        <v>0</v>
      </c>
      <c r="V21" s="60">
        <f t="shared" si="2"/>
        <v>0</v>
      </c>
      <c r="W21" s="60">
        <f t="shared" si="2"/>
        <v>0</v>
      </c>
      <c r="X21" s="60">
        <f t="shared" si="2"/>
        <v>0</v>
      </c>
      <c r="Y21" s="60">
        <f t="shared" si="2"/>
        <v>0</v>
      </c>
      <c r="Z21" s="60">
        <f t="shared" si="2"/>
        <v>0</v>
      </c>
      <c r="AA21" s="60">
        <f t="shared" si="2"/>
        <v>0</v>
      </c>
      <c r="AB21" s="60">
        <f t="shared" si="2"/>
        <v>0</v>
      </c>
      <c r="AC21" s="60">
        <f t="shared" si="2"/>
        <v>0</v>
      </c>
      <c r="AD21" s="60">
        <f t="shared" si="2"/>
        <v>0</v>
      </c>
      <c r="AE21" s="60">
        <f t="shared" si="2"/>
        <v>0</v>
      </c>
      <c r="AF21" s="60">
        <f t="shared" si="2"/>
        <v>0</v>
      </c>
    </row>
    <row r="24" spans="1:33" x14ac:dyDescent="0.25"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</sheetData>
  <autoFilter ref="A1:AF21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</autoFilter>
  <mergeCells count="16">
    <mergeCell ref="B3:K3"/>
    <mergeCell ref="A21:K21"/>
    <mergeCell ref="B6:K6"/>
    <mergeCell ref="M1:AF1"/>
    <mergeCell ref="L1:L2"/>
    <mergeCell ref="A1:A2"/>
    <mergeCell ref="E1:E2"/>
    <mergeCell ref="G1:G2"/>
    <mergeCell ref="F1:F2"/>
    <mergeCell ref="J1:J2"/>
    <mergeCell ref="C1:C2"/>
    <mergeCell ref="D1:D2"/>
    <mergeCell ref="K1:K2"/>
    <mergeCell ref="B1:B2"/>
    <mergeCell ref="I1:I2"/>
    <mergeCell ref="H1:H2"/>
  </mergeCells>
  <phoneticPr fontId="33" type="noConversion"/>
  <dataValidations count="4">
    <dataValidation type="list" allowBlank="1" showInputMessage="1" showErrorMessage="1" sqref="D4:D5 D7:D20">
      <formula1>Сроки</formula1>
    </dataValidation>
    <dataValidation type="list" allowBlank="1" showInputMessage="1" showErrorMessage="1" sqref="C4:C5 C7:C20">
      <formula1>Группа</formula1>
    </dataValidation>
    <dataValidation type="list" allowBlank="1" showInputMessage="1" showErrorMessage="1" sqref="B4:B5 B7:B20">
      <formula1>РСО</formula1>
    </dataValidation>
    <dataValidation type="list" allowBlank="1" showInputMessage="1" showErrorMessage="1" sqref="K4:K5 K7:K20">
      <formula1>Фин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6" operator="containsText" id="{5D295954-35B2-454C-A8B5-E95914FA73F7}">
            <xm:f>NOT(ISERROR(SEARCH(#REF!,C4)))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C4:C5 C7:C20</xm:sqref>
        </x14:conditionalFormatting>
        <x14:conditionalFormatting xmlns:xm="http://schemas.microsoft.com/office/excel/2006/main">
          <x14:cfRule type="containsText" priority="87" operator="containsText" id="{99E96BDB-BFC8-4087-AF93-36F95B231EF8}">
            <xm:f>NOT(ISERROR(SEARCH(#REF!,D4)))</xm:f>
            <xm:f>#REF!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D4:D5</xm:sqref>
        </x14:conditionalFormatting>
        <x14:conditionalFormatting xmlns:xm="http://schemas.microsoft.com/office/excel/2006/main">
          <x14:cfRule type="containsText" priority="74" operator="containsText" id="{77521972-5CCD-48BD-AF9F-5C1D77CB8CFA}">
            <xm:f>NOT(ISERROR(SEARCH(#REF!,D7)))</xm:f>
            <xm:f>#REF!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D7:D20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"/>
  <sheetViews>
    <sheetView zoomScale="70" zoomScaleNormal="70" workbookViewId="0">
      <selection activeCell="B4" sqref="B4"/>
    </sheetView>
  </sheetViews>
  <sheetFormatPr defaultColWidth="8.83203125" defaultRowHeight="15" x14ac:dyDescent="0.25"/>
  <cols>
    <col min="1" max="1" width="5.83203125" style="24" customWidth="1"/>
    <col min="2" max="2" width="18.5" style="6" customWidth="1"/>
    <col min="3" max="3" width="16.1640625" style="6" customWidth="1"/>
    <col min="4" max="4" width="21.6640625" style="6" customWidth="1"/>
    <col min="5" max="5" width="34" style="6" customWidth="1"/>
    <col min="6" max="6" width="24.1640625" style="6" customWidth="1"/>
    <col min="7" max="7" width="23.83203125" style="6" customWidth="1"/>
    <col min="8" max="8" width="14.5" style="6" customWidth="1"/>
    <col min="9" max="10" width="22" style="6" customWidth="1"/>
    <col min="11" max="11" width="15.6640625" style="6" customWidth="1"/>
    <col min="12" max="12" width="14" style="6" customWidth="1"/>
    <col min="13" max="25" width="13.6640625" style="6" customWidth="1"/>
    <col min="26" max="26" width="15.1640625" style="6" customWidth="1"/>
    <col min="27" max="27" width="8.83203125" style="6"/>
    <col min="29" max="16384" width="8.83203125" style="6"/>
  </cols>
  <sheetData>
    <row r="1" spans="1:26" ht="15" customHeight="1" x14ac:dyDescent="0.25">
      <c r="A1" s="437" t="s">
        <v>36</v>
      </c>
      <c r="B1" s="445" t="s">
        <v>140</v>
      </c>
      <c r="C1" s="437" t="s">
        <v>141</v>
      </c>
      <c r="D1" s="445" t="s">
        <v>142</v>
      </c>
      <c r="E1" s="437" t="s">
        <v>143</v>
      </c>
      <c r="F1" s="437" t="s">
        <v>144</v>
      </c>
      <c r="G1" s="437" t="s">
        <v>188</v>
      </c>
      <c r="H1" s="437" t="s">
        <v>183</v>
      </c>
      <c r="I1" s="425" t="s">
        <v>146</v>
      </c>
      <c r="J1" s="425" t="s">
        <v>176</v>
      </c>
      <c r="K1" s="445" t="s">
        <v>147</v>
      </c>
      <c r="L1" s="446" t="s">
        <v>390</v>
      </c>
      <c r="M1" s="441" t="s">
        <v>311</v>
      </c>
      <c r="N1" s="442"/>
      <c r="O1" s="442"/>
      <c r="P1" s="442"/>
      <c r="Q1" s="442"/>
      <c r="R1" s="442"/>
      <c r="S1" s="442"/>
      <c r="T1" s="442"/>
      <c r="U1" s="442"/>
      <c r="V1" s="442"/>
      <c r="W1" s="442"/>
      <c r="X1" s="442"/>
      <c r="Y1" s="442"/>
      <c r="Z1" s="443"/>
    </row>
    <row r="2" spans="1:26" ht="49.9" customHeight="1" x14ac:dyDescent="0.25">
      <c r="A2" s="437"/>
      <c r="B2" s="445"/>
      <c r="C2" s="437"/>
      <c r="D2" s="445"/>
      <c r="E2" s="437"/>
      <c r="F2" s="437"/>
      <c r="G2" s="437"/>
      <c r="H2" s="437"/>
      <c r="I2" s="425"/>
      <c r="J2" s="425"/>
      <c r="K2" s="445"/>
      <c r="L2" s="446"/>
      <c r="M2" s="5">
        <v>2023</v>
      </c>
      <c r="N2" s="5">
        <v>2024</v>
      </c>
      <c r="O2" s="5">
        <v>2025</v>
      </c>
      <c r="P2" s="5">
        <v>2026</v>
      </c>
      <c r="Q2" s="5">
        <v>2027</v>
      </c>
      <c r="R2" s="5">
        <v>2028</v>
      </c>
      <c r="S2" s="5">
        <v>2029</v>
      </c>
      <c r="T2" s="5">
        <v>2030</v>
      </c>
      <c r="U2" s="5">
        <v>2031</v>
      </c>
      <c r="V2" s="5">
        <v>2032</v>
      </c>
      <c r="W2" s="5">
        <v>2033</v>
      </c>
      <c r="X2" s="5">
        <v>2034</v>
      </c>
      <c r="Y2" s="5">
        <v>2035</v>
      </c>
      <c r="Z2" s="85" t="s">
        <v>151</v>
      </c>
    </row>
    <row r="3" spans="1:26" x14ac:dyDescent="0.25">
      <c r="A3" s="441" t="s">
        <v>306</v>
      </c>
      <c r="B3" s="442"/>
      <c r="C3" s="442"/>
      <c r="D3" s="442"/>
      <c r="E3" s="442"/>
      <c r="F3" s="442"/>
      <c r="G3" s="442"/>
      <c r="H3" s="442"/>
      <c r="I3" s="442"/>
      <c r="J3" s="442"/>
      <c r="K3" s="443"/>
      <c r="L3" s="111">
        <f t="shared" ref="L3:Z3" si="0">SUM(L4:L4)</f>
        <v>72200</v>
      </c>
      <c r="M3" s="111">
        <f t="shared" si="0"/>
        <v>0</v>
      </c>
      <c r="N3" s="111">
        <f t="shared" si="0"/>
        <v>72200</v>
      </c>
      <c r="O3" s="111">
        <f t="shared" si="0"/>
        <v>0</v>
      </c>
      <c r="P3" s="111">
        <f t="shared" si="0"/>
        <v>0</v>
      </c>
      <c r="Q3" s="111">
        <f t="shared" si="0"/>
        <v>0</v>
      </c>
      <c r="R3" s="111">
        <f t="shared" si="0"/>
        <v>0</v>
      </c>
      <c r="S3" s="111">
        <f t="shared" si="0"/>
        <v>0</v>
      </c>
      <c r="T3" s="111">
        <f t="shared" si="0"/>
        <v>0</v>
      </c>
      <c r="U3" s="111">
        <f t="shared" si="0"/>
        <v>0</v>
      </c>
      <c r="V3" s="111">
        <f t="shared" si="0"/>
        <v>0</v>
      </c>
      <c r="W3" s="111">
        <f t="shared" si="0"/>
        <v>0</v>
      </c>
      <c r="X3" s="111">
        <f t="shared" si="0"/>
        <v>0</v>
      </c>
      <c r="Y3" s="111">
        <f t="shared" si="0"/>
        <v>0</v>
      </c>
      <c r="Z3" s="111">
        <f t="shared" si="0"/>
        <v>72200</v>
      </c>
    </row>
    <row r="4" spans="1:26" ht="76.5" x14ac:dyDescent="0.25">
      <c r="A4" s="1" t="s">
        <v>178</v>
      </c>
      <c r="B4" s="58" t="s">
        <v>1034</v>
      </c>
      <c r="C4" s="57" t="s">
        <v>164</v>
      </c>
      <c r="D4" s="57" t="s">
        <v>165</v>
      </c>
      <c r="E4" s="46" t="s">
        <v>571</v>
      </c>
      <c r="F4" s="46" t="s">
        <v>570</v>
      </c>
      <c r="G4" s="46" t="s">
        <v>574</v>
      </c>
      <c r="H4" s="46">
        <v>2024</v>
      </c>
      <c r="I4" s="46" t="s">
        <v>572</v>
      </c>
      <c r="J4" s="46" t="s">
        <v>573</v>
      </c>
      <c r="K4" s="59" t="s">
        <v>163</v>
      </c>
      <c r="L4" s="61">
        <f>SUM(M4:Y4)</f>
        <v>72200</v>
      </c>
      <c r="M4" s="49"/>
      <c r="N4" s="49">
        <f>72.2*1000</f>
        <v>72200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87">
        <f t="shared" ref="Z4" si="1">SUM(M4:Y4)</f>
        <v>72200</v>
      </c>
    </row>
    <row r="5" spans="1:26" x14ac:dyDescent="0.25">
      <c r="A5" s="444" t="s">
        <v>170</v>
      </c>
      <c r="B5" s="444"/>
      <c r="C5" s="444"/>
      <c r="D5" s="444"/>
      <c r="E5" s="444"/>
      <c r="F5" s="444"/>
      <c r="G5" s="444"/>
      <c r="H5" s="444"/>
      <c r="I5" s="444"/>
      <c r="J5" s="444"/>
      <c r="K5" s="444"/>
      <c r="L5" s="88">
        <f t="shared" ref="L5:Y5" si="2">SUM(L4:L4)</f>
        <v>72200</v>
      </c>
      <c r="M5" s="87">
        <f t="shared" si="2"/>
        <v>0</v>
      </c>
      <c r="N5" s="87">
        <f t="shared" si="2"/>
        <v>72200</v>
      </c>
      <c r="O5" s="87">
        <f t="shared" si="2"/>
        <v>0</v>
      </c>
      <c r="P5" s="87">
        <f t="shared" si="2"/>
        <v>0</v>
      </c>
      <c r="Q5" s="87">
        <f t="shared" si="2"/>
        <v>0</v>
      </c>
      <c r="R5" s="87">
        <f t="shared" si="2"/>
        <v>0</v>
      </c>
      <c r="S5" s="87">
        <f t="shared" si="2"/>
        <v>0</v>
      </c>
      <c r="T5" s="87">
        <f t="shared" si="2"/>
        <v>0</v>
      </c>
      <c r="U5" s="87">
        <f t="shared" si="2"/>
        <v>0</v>
      </c>
      <c r="V5" s="87">
        <f t="shared" si="2"/>
        <v>0</v>
      </c>
      <c r="W5" s="87">
        <f t="shared" si="2"/>
        <v>0</v>
      </c>
      <c r="X5" s="87">
        <f t="shared" si="2"/>
        <v>0</v>
      </c>
      <c r="Y5" s="87">
        <f t="shared" si="2"/>
        <v>0</v>
      </c>
      <c r="Z5" s="87">
        <f>SUM(M5:P5)</f>
        <v>72200</v>
      </c>
    </row>
  </sheetData>
  <mergeCells count="15">
    <mergeCell ref="M1:Z1"/>
    <mergeCell ref="A5:K5"/>
    <mergeCell ref="C1:C2"/>
    <mergeCell ref="D1:D2"/>
    <mergeCell ref="K1:K2"/>
    <mergeCell ref="B1:B2"/>
    <mergeCell ref="A3:K3"/>
    <mergeCell ref="L1:L2"/>
    <mergeCell ref="A1:A2"/>
    <mergeCell ref="E1:E2"/>
    <mergeCell ref="F1:F2"/>
    <mergeCell ref="G1:G2"/>
    <mergeCell ref="I1:I2"/>
    <mergeCell ref="H1:H2"/>
    <mergeCell ref="J1:J2"/>
  </mergeCells>
  <phoneticPr fontId="33" type="noConversion"/>
  <dataValidations count="4">
    <dataValidation type="list" allowBlank="1" showInputMessage="1" showErrorMessage="1" sqref="B4">
      <formula1>РСО</formula1>
    </dataValidation>
    <dataValidation type="list" allowBlank="1" showInputMessage="1" showErrorMessage="1" sqref="C4">
      <formula1>Группа</formula1>
    </dataValidation>
    <dataValidation type="list" allowBlank="1" showInputMessage="1" showErrorMessage="1" sqref="D4">
      <formula1>Сроки</formula1>
    </dataValidation>
    <dataValidation type="list" allowBlank="1" showInputMessage="1" showErrorMessage="1" sqref="K4">
      <formula1>Фин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" operator="containsText" id="{1621EB2A-8FA1-4002-A1E1-DD5CBC737909}">
            <xm:f>NOT(ISERROR(SEARCH(#REF!,C4)))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C4</xm:sqref>
        </x14:conditionalFormatting>
        <x14:conditionalFormatting xmlns:xm="http://schemas.microsoft.com/office/excel/2006/main">
          <x14:cfRule type="containsText" priority="1" operator="containsText" id="{37786DFE-E349-4180-9856-933829A84169}">
            <xm:f>NOT(ISERROR(SEARCH(#REF!,D4)))</xm:f>
            <xm:f>#REF!</xm:f>
            <x14:dxf>
              <font>
                <color rgb="FF9C6500"/>
              </font>
              <fill>
                <patternFill>
                  <bgColor rgb="FFFFEB9C"/>
                </patternFill>
              </fill>
            </x14:dxf>
          </x14:cfRule>
          <xm:sqref>D4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6"/>
  <sheetViews>
    <sheetView topLeftCell="F1" zoomScale="85" zoomScaleNormal="85" workbookViewId="0">
      <pane ySplit="2" topLeftCell="A3" activePane="bottomLeft" state="frozen"/>
      <selection pane="bottomLeft" activeCell="AB1" sqref="AB1:AB1048576"/>
    </sheetView>
  </sheetViews>
  <sheetFormatPr defaultColWidth="8.83203125" defaultRowHeight="15" x14ac:dyDescent="0.25"/>
  <cols>
    <col min="1" max="1" width="10" style="136" customWidth="1"/>
    <col min="2" max="2" width="22.83203125" style="136" customWidth="1"/>
    <col min="3" max="3" width="18" style="140" customWidth="1"/>
    <col min="4" max="4" width="18.5" style="140" customWidth="1"/>
    <col min="5" max="5" width="41.83203125" style="136" customWidth="1"/>
    <col min="6" max="6" width="16.1640625" style="141" customWidth="1"/>
    <col min="7" max="7" width="21.83203125" style="136" customWidth="1"/>
    <col min="8" max="8" width="16.1640625" style="136" customWidth="1"/>
    <col min="9" max="10" width="16.1640625" style="136" hidden="1" customWidth="1"/>
    <col min="11" max="11" width="16.1640625" style="140" customWidth="1"/>
    <col min="12" max="12" width="23.6640625" style="139" customWidth="1"/>
    <col min="13" max="13" width="16" style="138" customWidth="1"/>
    <col min="14" max="14" width="20.1640625" style="138" customWidth="1"/>
    <col min="15" max="15" width="17.33203125" style="138" bestFit="1" customWidth="1"/>
    <col min="16" max="16" width="18.33203125" style="138" customWidth="1"/>
    <col min="17" max="17" width="16.1640625" style="138" bestFit="1" customWidth="1"/>
    <col min="18" max="25" width="16.1640625" style="138" customWidth="1"/>
    <col min="26" max="26" width="17" style="137" customWidth="1"/>
    <col min="27" max="27" width="8.83203125" style="136"/>
    <col min="28" max="28" width="11.5" style="136" hidden="1" customWidth="1"/>
    <col min="29" max="16384" width="8.83203125" style="136"/>
  </cols>
  <sheetData>
    <row r="1" spans="1:28" x14ac:dyDescent="0.25">
      <c r="A1" s="449" t="s">
        <v>36</v>
      </c>
      <c r="B1" s="447" t="s">
        <v>140</v>
      </c>
      <c r="C1" s="447" t="s">
        <v>141</v>
      </c>
      <c r="D1" s="447" t="s">
        <v>142</v>
      </c>
      <c r="E1" s="450" t="s">
        <v>143</v>
      </c>
      <c r="F1" s="450" t="s">
        <v>144</v>
      </c>
      <c r="G1" s="447" t="s">
        <v>188</v>
      </c>
      <c r="H1" s="447" t="s">
        <v>148</v>
      </c>
      <c r="I1" s="447" t="s">
        <v>146</v>
      </c>
      <c r="J1" s="421" t="s">
        <v>176</v>
      </c>
      <c r="K1" s="421" t="s">
        <v>147</v>
      </c>
      <c r="L1" s="421" t="s">
        <v>303</v>
      </c>
      <c r="M1" s="421" t="s">
        <v>311</v>
      </c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</row>
    <row r="2" spans="1:28" ht="36.75" customHeight="1" x14ac:dyDescent="0.25">
      <c r="A2" s="449"/>
      <c r="B2" s="447"/>
      <c r="C2" s="447"/>
      <c r="D2" s="447"/>
      <c r="E2" s="450"/>
      <c r="F2" s="450"/>
      <c r="G2" s="447"/>
      <c r="H2" s="447"/>
      <c r="I2" s="447"/>
      <c r="J2" s="421"/>
      <c r="K2" s="421"/>
      <c r="L2" s="421"/>
      <c r="M2" s="149">
        <v>2023</v>
      </c>
      <c r="N2" s="149">
        <f>M2+1</f>
        <v>2024</v>
      </c>
      <c r="O2" s="149">
        <f t="shared" ref="O2:Y2" si="0">N2+1</f>
        <v>2025</v>
      </c>
      <c r="P2" s="149">
        <f t="shared" si="0"/>
        <v>2026</v>
      </c>
      <c r="Q2" s="149">
        <f t="shared" si="0"/>
        <v>2027</v>
      </c>
      <c r="R2" s="149">
        <f t="shared" si="0"/>
        <v>2028</v>
      </c>
      <c r="S2" s="149">
        <f t="shared" si="0"/>
        <v>2029</v>
      </c>
      <c r="T2" s="149">
        <f t="shared" si="0"/>
        <v>2030</v>
      </c>
      <c r="U2" s="267">
        <f t="shared" si="0"/>
        <v>2031</v>
      </c>
      <c r="V2" s="267">
        <f t="shared" si="0"/>
        <v>2032</v>
      </c>
      <c r="W2" s="267">
        <f t="shared" si="0"/>
        <v>2033</v>
      </c>
      <c r="X2" s="267">
        <f t="shared" si="0"/>
        <v>2034</v>
      </c>
      <c r="Y2" s="267">
        <f t="shared" si="0"/>
        <v>2035</v>
      </c>
      <c r="Z2" s="148" t="s">
        <v>151</v>
      </c>
      <c r="AB2" s="267" t="s">
        <v>557</v>
      </c>
    </row>
    <row r="3" spans="1:28" ht="36.75" customHeight="1" x14ac:dyDescent="0.25">
      <c r="A3" s="147">
        <v>1</v>
      </c>
      <c r="B3" s="449" t="s">
        <v>189</v>
      </c>
      <c r="C3" s="449"/>
      <c r="D3" s="449"/>
      <c r="E3" s="449"/>
      <c r="F3" s="449"/>
      <c r="G3" s="449"/>
      <c r="H3" s="449"/>
      <c r="I3" s="449"/>
      <c r="J3" s="449"/>
      <c r="K3" s="449"/>
      <c r="L3" s="144">
        <f>SUM(L4:L35)</f>
        <v>333028.60329999996</v>
      </c>
      <c r="M3" s="144">
        <f>SUM(M4:M35)</f>
        <v>123081.51000000001</v>
      </c>
      <c r="N3" s="144">
        <f t="shared" ref="N3:Y3" si="1">SUM(N4:N35)</f>
        <v>87814.739999999991</v>
      </c>
      <c r="O3" s="144">
        <f t="shared" si="1"/>
        <v>29141.215500000006</v>
      </c>
      <c r="P3" s="144">
        <f t="shared" si="1"/>
        <v>49047.450000000012</v>
      </c>
      <c r="Q3" s="144">
        <f t="shared" si="1"/>
        <v>33947.697800000002</v>
      </c>
      <c r="R3" s="144">
        <f t="shared" si="1"/>
        <v>9995.9900000000016</v>
      </c>
      <c r="S3" s="144">
        <f t="shared" si="1"/>
        <v>0</v>
      </c>
      <c r="T3" s="144">
        <f t="shared" si="1"/>
        <v>0</v>
      </c>
      <c r="U3" s="144">
        <f t="shared" si="1"/>
        <v>0</v>
      </c>
      <c r="V3" s="144">
        <f t="shared" si="1"/>
        <v>0</v>
      </c>
      <c r="W3" s="144">
        <f t="shared" si="1"/>
        <v>0</v>
      </c>
      <c r="X3" s="144">
        <f t="shared" si="1"/>
        <v>0</v>
      </c>
      <c r="Y3" s="144">
        <f t="shared" si="1"/>
        <v>0</v>
      </c>
      <c r="Z3" s="144">
        <f>SUM(Z4:Z35)</f>
        <v>333028.60329999996</v>
      </c>
      <c r="AB3" s="268">
        <f>SUM(AB4:AB35)</f>
        <v>0</v>
      </c>
    </row>
    <row r="4" spans="1:28" ht="38.25" x14ac:dyDescent="0.25">
      <c r="A4" s="154" t="s">
        <v>115</v>
      </c>
      <c r="B4" s="53" t="s">
        <v>770</v>
      </c>
      <c r="C4" s="54" t="s">
        <v>153</v>
      </c>
      <c r="D4" s="53" t="s">
        <v>165</v>
      </c>
      <c r="E4" s="257" t="s">
        <v>788</v>
      </c>
      <c r="F4" s="152" t="s">
        <v>789</v>
      </c>
      <c r="G4" s="152" t="s">
        <v>790</v>
      </c>
      <c r="H4" s="151" t="s">
        <v>317</v>
      </c>
      <c r="I4" s="44"/>
      <c r="J4" s="44"/>
      <c r="K4" s="59" t="s">
        <v>155</v>
      </c>
      <c r="L4" s="262">
        <f>SUM(M4:Y4)</f>
        <v>1083.8900000000001</v>
      </c>
      <c r="M4" s="263">
        <v>1083.8900000000001</v>
      </c>
      <c r="N4" s="263" t="s">
        <v>374</v>
      </c>
      <c r="O4" s="263" t="s">
        <v>374</v>
      </c>
      <c r="P4" s="263" t="s">
        <v>374</v>
      </c>
      <c r="Q4" s="263" t="s">
        <v>374</v>
      </c>
      <c r="R4" s="263" t="s">
        <v>374</v>
      </c>
      <c r="S4" s="263" t="s">
        <v>374</v>
      </c>
      <c r="T4" s="263" t="s">
        <v>374</v>
      </c>
      <c r="U4" s="263"/>
      <c r="V4" s="263"/>
      <c r="W4" s="263"/>
      <c r="X4" s="263"/>
      <c r="Y4" s="263"/>
      <c r="Z4" s="264">
        <f>SUM(M4:Y4)</f>
        <v>1083.8900000000001</v>
      </c>
      <c r="AB4" s="153">
        <f>SUM(U4:Y4)</f>
        <v>0</v>
      </c>
    </row>
    <row r="5" spans="1:28" ht="38.25" x14ac:dyDescent="0.25">
      <c r="A5" s="154" t="s">
        <v>116</v>
      </c>
      <c r="B5" s="53" t="s">
        <v>770</v>
      </c>
      <c r="C5" s="54" t="s">
        <v>153</v>
      </c>
      <c r="D5" s="53" t="s">
        <v>165</v>
      </c>
      <c r="E5" s="257" t="s">
        <v>791</v>
      </c>
      <c r="F5" s="152" t="s">
        <v>789</v>
      </c>
      <c r="G5" s="152" t="s">
        <v>790</v>
      </c>
      <c r="H5" s="151" t="s">
        <v>316</v>
      </c>
      <c r="I5" s="44"/>
      <c r="J5" s="44"/>
      <c r="K5" s="59" t="s">
        <v>155</v>
      </c>
      <c r="L5" s="262">
        <f t="shared" ref="L5:L35" si="2">SUM(M5:Y5)</f>
        <v>294.15000000000003</v>
      </c>
      <c r="M5" s="263">
        <v>294.15000000000003</v>
      </c>
      <c r="N5" s="263" t="s">
        <v>374</v>
      </c>
      <c r="O5" s="263" t="s">
        <v>374</v>
      </c>
      <c r="P5" s="263" t="s">
        <v>374</v>
      </c>
      <c r="Q5" s="263" t="s">
        <v>374</v>
      </c>
      <c r="R5" s="263" t="s">
        <v>374</v>
      </c>
      <c r="S5" s="263" t="s">
        <v>374</v>
      </c>
      <c r="T5" s="263" t="s">
        <v>374</v>
      </c>
      <c r="U5" s="263"/>
      <c r="V5" s="263"/>
      <c r="W5" s="263"/>
      <c r="X5" s="263"/>
      <c r="Y5" s="263"/>
      <c r="Z5" s="264">
        <f t="shared" ref="Z5:Z35" si="3">SUM(M5:Y5)</f>
        <v>294.15000000000003</v>
      </c>
      <c r="AB5" s="153">
        <f t="shared" ref="AB5:AB55" si="4">SUM(U5:Y5)</f>
        <v>0</v>
      </c>
    </row>
    <row r="6" spans="1:28" ht="38.25" x14ac:dyDescent="0.25">
      <c r="A6" s="154" t="s">
        <v>117</v>
      </c>
      <c r="B6" s="53" t="s">
        <v>770</v>
      </c>
      <c r="C6" s="54" t="s">
        <v>153</v>
      </c>
      <c r="D6" s="53" t="s">
        <v>165</v>
      </c>
      <c r="E6" s="257" t="s">
        <v>792</v>
      </c>
      <c r="F6" s="152" t="s">
        <v>789</v>
      </c>
      <c r="G6" s="152" t="s">
        <v>790</v>
      </c>
      <c r="H6" s="151" t="s">
        <v>316</v>
      </c>
      <c r="I6" s="44"/>
      <c r="J6" s="44"/>
      <c r="K6" s="59" t="s">
        <v>155</v>
      </c>
      <c r="L6" s="262">
        <f t="shared" si="2"/>
        <v>426.51</v>
      </c>
      <c r="M6" s="263">
        <v>426.51</v>
      </c>
      <c r="N6" s="263" t="s">
        <v>374</v>
      </c>
      <c r="O6" s="263" t="s">
        <v>374</v>
      </c>
      <c r="P6" s="263" t="s">
        <v>374</v>
      </c>
      <c r="Q6" s="263" t="s">
        <v>374</v>
      </c>
      <c r="R6" s="263" t="s">
        <v>374</v>
      </c>
      <c r="S6" s="263" t="s">
        <v>374</v>
      </c>
      <c r="T6" s="263" t="s">
        <v>374</v>
      </c>
      <c r="U6" s="263"/>
      <c r="V6" s="263"/>
      <c r="W6" s="263"/>
      <c r="X6" s="263"/>
      <c r="Y6" s="263"/>
      <c r="Z6" s="264">
        <f t="shared" si="3"/>
        <v>426.51</v>
      </c>
      <c r="AB6" s="153">
        <f t="shared" si="4"/>
        <v>0</v>
      </c>
    </row>
    <row r="7" spans="1:28" ht="63.75" x14ac:dyDescent="0.25">
      <c r="A7" s="154" t="s">
        <v>157</v>
      </c>
      <c r="B7" s="53" t="s">
        <v>770</v>
      </c>
      <c r="C7" s="54" t="s">
        <v>153</v>
      </c>
      <c r="D7" s="53" t="s">
        <v>165</v>
      </c>
      <c r="E7" s="257" t="s">
        <v>793</v>
      </c>
      <c r="F7" s="152" t="s">
        <v>794</v>
      </c>
      <c r="G7" s="152" t="s">
        <v>790</v>
      </c>
      <c r="H7" s="151">
        <v>2023</v>
      </c>
      <c r="I7" s="44"/>
      <c r="J7" s="44"/>
      <c r="K7" s="59" t="s">
        <v>155</v>
      </c>
      <c r="L7" s="262">
        <f t="shared" si="2"/>
        <v>830.18000000000006</v>
      </c>
      <c r="M7" s="263">
        <v>830.18000000000006</v>
      </c>
      <c r="N7" s="263" t="s">
        <v>374</v>
      </c>
      <c r="O7" s="263" t="s">
        <v>374</v>
      </c>
      <c r="P7" s="263" t="s">
        <v>374</v>
      </c>
      <c r="Q7" s="263" t="s">
        <v>374</v>
      </c>
      <c r="R7" s="263" t="s">
        <v>374</v>
      </c>
      <c r="S7" s="263" t="s">
        <v>374</v>
      </c>
      <c r="T7" s="263" t="s">
        <v>374</v>
      </c>
      <c r="U7" s="263"/>
      <c r="V7" s="263"/>
      <c r="W7" s="263"/>
      <c r="X7" s="263"/>
      <c r="Y7" s="263"/>
      <c r="Z7" s="264">
        <f t="shared" si="3"/>
        <v>830.18000000000006</v>
      </c>
      <c r="AB7" s="153">
        <f t="shared" si="4"/>
        <v>0</v>
      </c>
    </row>
    <row r="8" spans="1:28" ht="63.75" x14ac:dyDescent="0.25">
      <c r="A8" s="154" t="s">
        <v>158</v>
      </c>
      <c r="B8" s="53" t="s">
        <v>770</v>
      </c>
      <c r="C8" s="54" t="s">
        <v>153</v>
      </c>
      <c r="D8" s="53" t="s">
        <v>165</v>
      </c>
      <c r="E8" s="257" t="s">
        <v>795</v>
      </c>
      <c r="F8" s="152" t="s">
        <v>796</v>
      </c>
      <c r="G8" s="152" t="s">
        <v>790</v>
      </c>
      <c r="H8" s="151" t="s">
        <v>316</v>
      </c>
      <c r="I8" s="44"/>
      <c r="J8" s="44"/>
      <c r="K8" s="59" t="s">
        <v>155</v>
      </c>
      <c r="L8" s="262">
        <f t="shared" si="2"/>
        <v>147.56</v>
      </c>
      <c r="M8" s="263">
        <v>147.56</v>
      </c>
      <c r="N8" s="263" t="s">
        <v>374</v>
      </c>
      <c r="O8" s="263" t="s">
        <v>374</v>
      </c>
      <c r="P8" s="263" t="s">
        <v>374</v>
      </c>
      <c r="Q8" s="263" t="s">
        <v>374</v>
      </c>
      <c r="R8" s="263" t="s">
        <v>374</v>
      </c>
      <c r="S8" s="263" t="s">
        <v>374</v>
      </c>
      <c r="T8" s="263" t="s">
        <v>374</v>
      </c>
      <c r="U8" s="263"/>
      <c r="V8" s="263"/>
      <c r="W8" s="263"/>
      <c r="X8" s="263"/>
      <c r="Y8" s="263"/>
      <c r="Z8" s="264">
        <f t="shared" si="3"/>
        <v>147.56</v>
      </c>
      <c r="AB8" s="153">
        <f t="shared" si="4"/>
        <v>0</v>
      </c>
    </row>
    <row r="9" spans="1:28" ht="51" x14ac:dyDescent="0.25">
      <c r="A9" s="154" t="s">
        <v>159</v>
      </c>
      <c r="B9" s="53" t="s">
        <v>770</v>
      </c>
      <c r="C9" s="54" t="s">
        <v>153</v>
      </c>
      <c r="D9" s="53" t="s">
        <v>165</v>
      </c>
      <c r="E9" s="257" t="s">
        <v>797</v>
      </c>
      <c r="F9" s="152" t="s">
        <v>798</v>
      </c>
      <c r="G9" s="152" t="s">
        <v>790</v>
      </c>
      <c r="H9" s="151">
        <v>2023</v>
      </c>
      <c r="I9" s="44"/>
      <c r="J9" s="44"/>
      <c r="K9" s="59" t="s">
        <v>155</v>
      </c>
      <c r="L9" s="262">
        <f t="shared" si="2"/>
        <v>385.52</v>
      </c>
      <c r="M9" s="263">
        <v>385.52</v>
      </c>
      <c r="N9" s="263" t="s">
        <v>374</v>
      </c>
      <c r="O9" s="263" t="s">
        <v>374</v>
      </c>
      <c r="P9" s="263" t="s">
        <v>374</v>
      </c>
      <c r="Q9" s="263" t="s">
        <v>374</v>
      </c>
      <c r="R9" s="263" t="s">
        <v>374</v>
      </c>
      <c r="S9" s="263" t="s">
        <v>374</v>
      </c>
      <c r="T9" s="263" t="s">
        <v>374</v>
      </c>
      <c r="U9" s="263"/>
      <c r="V9" s="263"/>
      <c r="W9" s="263"/>
      <c r="X9" s="263"/>
      <c r="Y9" s="263"/>
      <c r="Z9" s="264">
        <f t="shared" si="3"/>
        <v>385.52</v>
      </c>
      <c r="AB9" s="153">
        <f t="shared" si="4"/>
        <v>0</v>
      </c>
    </row>
    <row r="10" spans="1:28" ht="76.5" x14ac:dyDescent="0.25">
      <c r="A10" s="154" t="s">
        <v>320</v>
      </c>
      <c r="B10" s="53" t="s">
        <v>770</v>
      </c>
      <c r="C10" s="54" t="s">
        <v>153</v>
      </c>
      <c r="D10" s="53" t="s">
        <v>165</v>
      </c>
      <c r="E10" s="257" t="s">
        <v>799</v>
      </c>
      <c r="F10" s="152" t="s">
        <v>800</v>
      </c>
      <c r="G10" s="152" t="s">
        <v>790</v>
      </c>
      <c r="H10" s="151">
        <v>2023</v>
      </c>
      <c r="I10" s="44"/>
      <c r="J10" s="44"/>
      <c r="K10" s="59" t="s">
        <v>155</v>
      </c>
      <c r="L10" s="262">
        <f t="shared" si="2"/>
        <v>682.8</v>
      </c>
      <c r="M10" s="263">
        <v>682.8</v>
      </c>
      <c r="N10" s="263" t="s">
        <v>374</v>
      </c>
      <c r="O10" s="263" t="s">
        <v>374</v>
      </c>
      <c r="P10" s="263" t="s">
        <v>374</v>
      </c>
      <c r="Q10" s="263" t="s">
        <v>374</v>
      </c>
      <c r="R10" s="263" t="s">
        <v>374</v>
      </c>
      <c r="S10" s="263" t="s">
        <v>374</v>
      </c>
      <c r="T10" s="263" t="s">
        <v>374</v>
      </c>
      <c r="U10" s="263"/>
      <c r="V10" s="263"/>
      <c r="W10" s="263"/>
      <c r="X10" s="263"/>
      <c r="Y10" s="263"/>
      <c r="Z10" s="264">
        <f t="shared" si="3"/>
        <v>682.8</v>
      </c>
      <c r="AB10" s="153">
        <f t="shared" si="4"/>
        <v>0</v>
      </c>
    </row>
    <row r="11" spans="1:28" ht="63.75" x14ac:dyDescent="0.25">
      <c r="A11" s="154" t="s">
        <v>321</v>
      </c>
      <c r="B11" s="53" t="s">
        <v>770</v>
      </c>
      <c r="C11" s="54" t="s">
        <v>153</v>
      </c>
      <c r="D11" s="53" t="s">
        <v>165</v>
      </c>
      <c r="E11" s="257" t="s">
        <v>801</v>
      </c>
      <c r="F11" s="152" t="s">
        <v>802</v>
      </c>
      <c r="G11" s="152" t="s">
        <v>790</v>
      </c>
      <c r="H11" s="151" t="s">
        <v>316</v>
      </c>
      <c r="I11" s="44"/>
      <c r="J11" s="44"/>
      <c r="K11" s="59" t="s">
        <v>155</v>
      </c>
      <c r="L11" s="262">
        <f t="shared" si="2"/>
        <v>272.54000000000002</v>
      </c>
      <c r="M11" s="263">
        <v>272.54000000000002</v>
      </c>
      <c r="N11" s="263" t="s">
        <v>374</v>
      </c>
      <c r="O11" s="263" t="s">
        <v>374</v>
      </c>
      <c r="P11" s="263" t="s">
        <v>374</v>
      </c>
      <c r="Q11" s="263" t="s">
        <v>374</v>
      </c>
      <c r="R11" s="263" t="s">
        <v>374</v>
      </c>
      <c r="S11" s="263" t="s">
        <v>374</v>
      </c>
      <c r="T11" s="263" t="s">
        <v>374</v>
      </c>
      <c r="U11" s="263"/>
      <c r="V11" s="263"/>
      <c r="W11" s="263"/>
      <c r="X11" s="263"/>
      <c r="Y11" s="263"/>
      <c r="Z11" s="264">
        <f t="shared" si="3"/>
        <v>272.54000000000002</v>
      </c>
      <c r="AB11" s="153">
        <f t="shared" si="4"/>
        <v>0</v>
      </c>
    </row>
    <row r="12" spans="1:28" ht="51" x14ac:dyDescent="0.25">
      <c r="A12" s="154" t="s">
        <v>322</v>
      </c>
      <c r="B12" s="53" t="s">
        <v>770</v>
      </c>
      <c r="C12" s="54" t="s">
        <v>153</v>
      </c>
      <c r="D12" s="53" t="s">
        <v>165</v>
      </c>
      <c r="E12" s="257" t="s">
        <v>803</v>
      </c>
      <c r="F12" s="152" t="s">
        <v>804</v>
      </c>
      <c r="G12" s="152" t="s">
        <v>790</v>
      </c>
      <c r="H12" s="151" t="s">
        <v>316</v>
      </c>
      <c r="I12" s="44"/>
      <c r="J12" s="44"/>
      <c r="K12" s="59" t="s">
        <v>155</v>
      </c>
      <c r="L12" s="262">
        <f t="shared" si="2"/>
        <v>5562.2999999999993</v>
      </c>
      <c r="M12" s="263">
        <v>5562.2999999999993</v>
      </c>
      <c r="N12" s="263" t="s">
        <v>374</v>
      </c>
      <c r="O12" s="263" t="s">
        <v>374</v>
      </c>
      <c r="P12" s="263" t="s">
        <v>374</v>
      </c>
      <c r="Q12" s="263" t="s">
        <v>374</v>
      </c>
      <c r="R12" s="263" t="s">
        <v>374</v>
      </c>
      <c r="S12" s="263" t="s">
        <v>374</v>
      </c>
      <c r="T12" s="263" t="s">
        <v>374</v>
      </c>
      <c r="U12" s="263"/>
      <c r="V12" s="263"/>
      <c r="W12" s="263"/>
      <c r="X12" s="263"/>
      <c r="Y12" s="263"/>
      <c r="Z12" s="264">
        <f t="shared" si="3"/>
        <v>5562.2999999999993</v>
      </c>
      <c r="AB12" s="153">
        <f t="shared" si="4"/>
        <v>0</v>
      </c>
    </row>
    <row r="13" spans="1:28" ht="51" x14ac:dyDescent="0.25">
      <c r="A13" s="154" t="s">
        <v>323</v>
      </c>
      <c r="B13" s="53" t="s">
        <v>770</v>
      </c>
      <c r="C13" s="54" t="s">
        <v>153</v>
      </c>
      <c r="D13" s="53" t="s">
        <v>165</v>
      </c>
      <c r="E13" s="257" t="s">
        <v>805</v>
      </c>
      <c r="F13" s="152" t="s">
        <v>789</v>
      </c>
      <c r="G13" s="152" t="s">
        <v>790</v>
      </c>
      <c r="H13" s="151" t="s">
        <v>318</v>
      </c>
      <c r="I13" s="44"/>
      <c r="J13" s="44"/>
      <c r="K13" s="59" t="s">
        <v>155</v>
      </c>
      <c r="L13" s="262">
        <f t="shared" si="2"/>
        <v>666.01</v>
      </c>
      <c r="M13" s="263">
        <v>666.01</v>
      </c>
      <c r="N13" s="263" t="s">
        <v>374</v>
      </c>
      <c r="O13" s="263" t="s">
        <v>374</v>
      </c>
      <c r="P13" s="263" t="s">
        <v>374</v>
      </c>
      <c r="Q13" s="263" t="s">
        <v>374</v>
      </c>
      <c r="R13" s="263" t="s">
        <v>374</v>
      </c>
      <c r="S13" s="263" t="s">
        <v>374</v>
      </c>
      <c r="T13" s="263" t="s">
        <v>374</v>
      </c>
      <c r="U13" s="263"/>
      <c r="V13" s="263"/>
      <c r="W13" s="263"/>
      <c r="X13" s="263"/>
      <c r="Y13" s="263"/>
      <c r="Z13" s="264">
        <f t="shared" si="3"/>
        <v>666.01</v>
      </c>
      <c r="AB13" s="153">
        <f t="shared" si="4"/>
        <v>0</v>
      </c>
    </row>
    <row r="14" spans="1:28" ht="38.25" x14ac:dyDescent="0.25">
      <c r="A14" s="154" t="s">
        <v>324</v>
      </c>
      <c r="B14" s="53" t="s">
        <v>770</v>
      </c>
      <c r="C14" s="54" t="s">
        <v>153</v>
      </c>
      <c r="D14" s="53" t="s">
        <v>165</v>
      </c>
      <c r="E14" s="257" t="s">
        <v>806</v>
      </c>
      <c r="F14" s="152" t="s">
        <v>789</v>
      </c>
      <c r="G14" s="152" t="s">
        <v>790</v>
      </c>
      <c r="H14" s="151" t="s">
        <v>319</v>
      </c>
      <c r="I14" s="44"/>
      <c r="J14" s="44"/>
      <c r="K14" s="59" t="s">
        <v>155</v>
      </c>
      <c r="L14" s="262">
        <f t="shared" si="2"/>
        <v>611.40000000000009</v>
      </c>
      <c r="M14" s="263">
        <v>305.70000000000005</v>
      </c>
      <c r="N14" s="263">
        <v>305.70000000000005</v>
      </c>
      <c r="O14" s="263" t="s">
        <v>374</v>
      </c>
      <c r="P14" s="263" t="s">
        <v>374</v>
      </c>
      <c r="Q14" s="263" t="s">
        <v>374</v>
      </c>
      <c r="R14" s="263" t="s">
        <v>374</v>
      </c>
      <c r="S14" s="263" t="s">
        <v>374</v>
      </c>
      <c r="T14" s="263" t="s">
        <v>374</v>
      </c>
      <c r="U14" s="263"/>
      <c r="V14" s="263"/>
      <c r="W14" s="263"/>
      <c r="X14" s="263"/>
      <c r="Y14" s="263"/>
      <c r="Z14" s="264">
        <f t="shared" si="3"/>
        <v>611.40000000000009</v>
      </c>
      <c r="AB14" s="153">
        <f t="shared" si="4"/>
        <v>0</v>
      </c>
    </row>
    <row r="15" spans="1:28" ht="38.25" x14ac:dyDescent="0.25">
      <c r="A15" s="154" t="s">
        <v>160</v>
      </c>
      <c r="B15" s="53" t="s">
        <v>770</v>
      </c>
      <c r="C15" s="54" t="s">
        <v>153</v>
      </c>
      <c r="D15" s="53" t="s">
        <v>165</v>
      </c>
      <c r="E15" s="257" t="s">
        <v>807</v>
      </c>
      <c r="F15" s="152" t="s">
        <v>804</v>
      </c>
      <c r="G15" s="152" t="s">
        <v>790</v>
      </c>
      <c r="H15" s="151" t="s">
        <v>316</v>
      </c>
      <c r="I15" s="44"/>
      <c r="J15" s="44"/>
      <c r="K15" s="59" t="s">
        <v>155</v>
      </c>
      <c r="L15" s="262">
        <f t="shared" si="2"/>
        <v>4227.01</v>
      </c>
      <c r="M15" s="263">
        <v>4227.01</v>
      </c>
      <c r="N15" s="263" t="s">
        <v>374</v>
      </c>
      <c r="O15" s="263" t="s">
        <v>374</v>
      </c>
      <c r="P15" s="263" t="s">
        <v>374</v>
      </c>
      <c r="Q15" s="263" t="s">
        <v>374</v>
      </c>
      <c r="R15" s="263" t="s">
        <v>374</v>
      </c>
      <c r="S15" s="263" t="s">
        <v>374</v>
      </c>
      <c r="T15" s="263" t="s">
        <v>374</v>
      </c>
      <c r="U15" s="263"/>
      <c r="V15" s="263"/>
      <c r="W15" s="263"/>
      <c r="X15" s="263"/>
      <c r="Y15" s="263"/>
      <c r="Z15" s="264">
        <f t="shared" si="3"/>
        <v>4227.01</v>
      </c>
      <c r="AB15" s="153">
        <f t="shared" si="4"/>
        <v>0</v>
      </c>
    </row>
    <row r="16" spans="1:28" ht="76.5" x14ac:dyDescent="0.25">
      <c r="A16" s="154" t="s">
        <v>325</v>
      </c>
      <c r="B16" s="53" t="s">
        <v>770</v>
      </c>
      <c r="C16" s="54" t="s">
        <v>153</v>
      </c>
      <c r="D16" s="53" t="s">
        <v>165</v>
      </c>
      <c r="E16" s="257" t="s">
        <v>808</v>
      </c>
      <c r="F16" s="152" t="s">
        <v>809</v>
      </c>
      <c r="G16" s="152" t="s">
        <v>790</v>
      </c>
      <c r="H16" s="151" t="s">
        <v>316</v>
      </c>
      <c r="I16" s="44"/>
      <c r="J16" s="44"/>
      <c r="K16" s="59" t="s">
        <v>155</v>
      </c>
      <c r="L16" s="262">
        <f t="shared" si="2"/>
        <v>1220.9000000000001</v>
      </c>
      <c r="M16" s="263">
        <v>1220.9000000000001</v>
      </c>
      <c r="N16" s="263" t="s">
        <v>374</v>
      </c>
      <c r="O16" s="263" t="s">
        <v>374</v>
      </c>
      <c r="P16" s="263" t="s">
        <v>374</v>
      </c>
      <c r="Q16" s="263" t="s">
        <v>374</v>
      </c>
      <c r="R16" s="263" t="s">
        <v>374</v>
      </c>
      <c r="S16" s="263" t="s">
        <v>374</v>
      </c>
      <c r="T16" s="263" t="s">
        <v>374</v>
      </c>
      <c r="U16" s="263"/>
      <c r="V16" s="263"/>
      <c r="W16" s="263"/>
      <c r="X16" s="263"/>
      <c r="Y16" s="263"/>
      <c r="Z16" s="264">
        <f t="shared" si="3"/>
        <v>1220.9000000000001</v>
      </c>
      <c r="AB16" s="153">
        <f t="shared" si="4"/>
        <v>0</v>
      </c>
    </row>
    <row r="17" spans="1:28" ht="76.5" x14ac:dyDescent="0.25">
      <c r="A17" s="154" t="s">
        <v>326</v>
      </c>
      <c r="B17" s="53" t="s">
        <v>770</v>
      </c>
      <c r="C17" s="54" t="s">
        <v>153</v>
      </c>
      <c r="D17" s="53" t="s">
        <v>165</v>
      </c>
      <c r="E17" s="257" t="s">
        <v>810</v>
      </c>
      <c r="F17" s="152" t="s">
        <v>811</v>
      </c>
      <c r="G17" s="152" t="s">
        <v>790</v>
      </c>
      <c r="H17" s="151" t="s">
        <v>313</v>
      </c>
      <c r="I17" s="44"/>
      <c r="J17" s="44"/>
      <c r="K17" s="59" t="s">
        <v>155</v>
      </c>
      <c r="L17" s="262">
        <f t="shared" si="2"/>
        <v>2697.1</v>
      </c>
      <c r="M17" s="263">
        <v>1348.55</v>
      </c>
      <c r="N17" s="263">
        <v>1348.55</v>
      </c>
      <c r="O17" s="263" t="s">
        <v>374</v>
      </c>
      <c r="P17" s="263" t="s">
        <v>374</v>
      </c>
      <c r="Q17" s="263" t="s">
        <v>374</v>
      </c>
      <c r="R17" s="263" t="s">
        <v>374</v>
      </c>
      <c r="S17" s="263" t="s">
        <v>374</v>
      </c>
      <c r="T17" s="263" t="s">
        <v>374</v>
      </c>
      <c r="U17" s="263"/>
      <c r="V17" s="263"/>
      <c r="W17" s="263"/>
      <c r="X17" s="263"/>
      <c r="Y17" s="263"/>
      <c r="Z17" s="264">
        <f t="shared" si="3"/>
        <v>2697.1</v>
      </c>
      <c r="AB17" s="153">
        <f t="shared" si="4"/>
        <v>0</v>
      </c>
    </row>
    <row r="18" spans="1:28" ht="38.25" x14ac:dyDescent="0.25">
      <c r="A18" s="154" t="s">
        <v>327</v>
      </c>
      <c r="B18" s="53" t="s">
        <v>770</v>
      </c>
      <c r="C18" s="54" t="s">
        <v>153</v>
      </c>
      <c r="D18" s="53" t="s">
        <v>165</v>
      </c>
      <c r="E18" s="257" t="s">
        <v>812</v>
      </c>
      <c r="F18" s="152" t="s">
        <v>813</v>
      </c>
      <c r="G18" s="152" t="s">
        <v>790</v>
      </c>
      <c r="H18" s="151" t="s">
        <v>373</v>
      </c>
      <c r="I18" s="44"/>
      <c r="J18" s="44"/>
      <c r="K18" s="59" t="s">
        <v>155</v>
      </c>
      <c r="L18" s="262">
        <f t="shared" si="2"/>
        <v>159758.6</v>
      </c>
      <c r="M18" s="263">
        <v>79879.3</v>
      </c>
      <c r="N18" s="263">
        <v>79879.3</v>
      </c>
      <c r="O18" s="263" t="s">
        <v>374</v>
      </c>
      <c r="P18" s="263" t="s">
        <v>374</v>
      </c>
      <c r="Q18" s="263" t="s">
        <v>374</v>
      </c>
      <c r="R18" s="263" t="s">
        <v>374</v>
      </c>
      <c r="S18" s="263" t="s">
        <v>374</v>
      </c>
      <c r="T18" s="263" t="s">
        <v>374</v>
      </c>
      <c r="U18" s="263"/>
      <c r="V18" s="263"/>
      <c r="W18" s="263"/>
      <c r="X18" s="263"/>
      <c r="Y18" s="263"/>
      <c r="Z18" s="264">
        <f t="shared" si="3"/>
        <v>159758.6</v>
      </c>
      <c r="AB18" s="153">
        <f t="shared" si="4"/>
        <v>0</v>
      </c>
    </row>
    <row r="19" spans="1:28" ht="63.75" x14ac:dyDescent="0.25">
      <c r="A19" s="154" t="s">
        <v>771</v>
      </c>
      <c r="B19" s="53" t="s">
        <v>770</v>
      </c>
      <c r="C19" s="54" t="s">
        <v>153</v>
      </c>
      <c r="D19" s="53" t="s">
        <v>165</v>
      </c>
      <c r="E19" s="257" t="s">
        <v>814</v>
      </c>
      <c r="F19" s="152" t="s">
        <v>815</v>
      </c>
      <c r="G19" s="152" t="s">
        <v>790</v>
      </c>
      <c r="H19" s="151" t="s">
        <v>406</v>
      </c>
      <c r="I19" s="44"/>
      <c r="J19" s="44"/>
      <c r="K19" s="59" t="s">
        <v>155</v>
      </c>
      <c r="L19" s="262">
        <f t="shared" si="2"/>
        <v>11330.900000000001</v>
      </c>
      <c r="M19" s="263" t="s">
        <v>374</v>
      </c>
      <c r="N19" s="263" t="s">
        <v>374</v>
      </c>
      <c r="O19" s="263" t="s">
        <v>374</v>
      </c>
      <c r="P19" s="263">
        <v>7931.6</v>
      </c>
      <c r="Q19" s="263">
        <v>3399.3</v>
      </c>
      <c r="R19" s="263" t="s">
        <v>374</v>
      </c>
      <c r="S19" s="263" t="s">
        <v>374</v>
      </c>
      <c r="T19" s="263" t="s">
        <v>374</v>
      </c>
      <c r="U19" s="263"/>
      <c r="V19" s="263"/>
      <c r="W19" s="263"/>
      <c r="X19" s="263"/>
      <c r="Y19" s="263"/>
      <c r="Z19" s="264">
        <f t="shared" si="3"/>
        <v>11330.900000000001</v>
      </c>
      <c r="AB19" s="153">
        <f t="shared" si="4"/>
        <v>0</v>
      </c>
    </row>
    <row r="20" spans="1:28" ht="89.25" x14ac:dyDescent="0.25">
      <c r="A20" s="154" t="s">
        <v>772</v>
      </c>
      <c r="B20" s="53" t="s">
        <v>770</v>
      </c>
      <c r="C20" s="54" t="s">
        <v>153</v>
      </c>
      <c r="D20" s="53" t="s">
        <v>165</v>
      </c>
      <c r="E20" s="257" t="s">
        <v>816</v>
      </c>
      <c r="F20" s="152" t="s">
        <v>817</v>
      </c>
      <c r="G20" s="152" t="s">
        <v>790</v>
      </c>
      <c r="H20" s="151" t="s">
        <v>313</v>
      </c>
      <c r="I20" s="44"/>
      <c r="J20" s="44"/>
      <c r="K20" s="59" t="s">
        <v>155</v>
      </c>
      <c r="L20" s="262">
        <f t="shared" si="2"/>
        <v>123.24000000000001</v>
      </c>
      <c r="M20" s="263">
        <v>61.620000000000005</v>
      </c>
      <c r="N20" s="263">
        <v>61.620000000000005</v>
      </c>
      <c r="O20" s="263" t="s">
        <v>374</v>
      </c>
      <c r="P20" s="263" t="s">
        <v>374</v>
      </c>
      <c r="Q20" s="263" t="s">
        <v>374</v>
      </c>
      <c r="R20" s="263" t="s">
        <v>374</v>
      </c>
      <c r="S20" s="263" t="s">
        <v>374</v>
      </c>
      <c r="T20" s="263" t="s">
        <v>374</v>
      </c>
      <c r="U20" s="263"/>
      <c r="V20" s="263"/>
      <c r="W20" s="263"/>
      <c r="X20" s="263"/>
      <c r="Y20" s="263"/>
      <c r="Z20" s="264">
        <f t="shared" si="3"/>
        <v>123.24000000000001</v>
      </c>
      <c r="AB20" s="153">
        <f t="shared" si="4"/>
        <v>0</v>
      </c>
    </row>
    <row r="21" spans="1:28" ht="89.25" x14ac:dyDescent="0.25">
      <c r="A21" s="154" t="s">
        <v>773</v>
      </c>
      <c r="B21" s="53" t="s">
        <v>770</v>
      </c>
      <c r="C21" s="54" t="s">
        <v>153</v>
      </c>
      <c r="D21" s="53" t="s">
        <v>165</v>
      </c>
      <c r="E21" s="257" t="s">
        <v>818</v>
      </c>
      <c r="F21" s="152" t="s">
        <v>819</v>
      </c>
      <c r="G21" s="152" t="s">
        <v>790</v>
      </c>
      <c r="H21" s="151" t="s">
        <v>820</v>
      </c>
      <c r="I21" s="44"/>
      <c r="J21" s="44"/>
      <c r="K21" s="59" t="s">
        <v>155</v>
      </c>
      <c r="L21" s="262">
        <f t="shared" si="2"/>
        <v>167.78</v>
      </c>
      <c r="M21" s="263" t="s">
        <v>374</v>
      </c>
      <c r="N21" s="263" t="s">
        <v>374</v>
      </c>
      <c r="O21" s="263">
        <v>83.89</v>
      </c>
      <c r="P21" s="263">
        <v>83.89</v>
      </c>
      <c r="Q21" s="263" t="s">
        <v>374</v>
      </c>
      <c r="R21" s="263" t="s">
        <v>374</v>
      </c>
      <c r="S21" s="263" t="s">
        <v>374</v>
      </c>
      <c r="T21" s="263" t="s">
        <v>374</v>
      </c>
      <c r="U21" s="263"/>
      <c r="V21" s="263"/>
      <c r="W21" s="263"/>
      <c r="X21" s="263"/>
      <c r="Y21" s="263"/>
      <c r="Z21" s="264">
        <f t="shared" si="3"/>
        <v>167.78</v>
      </c>
      <c r="AB21" s="153">
        <f t="shared" si="4"/>
        <v>0</v>
      </c>
    </row>
    <row r="22" spans="1:28" ht="51" x14ac:dyDescent="0.25">
      <c r="A22" s="154" t="s">
        <v>774</v>
      </c>
      <c r="B22" s="53" t="s">
        <v>770</v>
      </c>
      <c r="C22" s="54" t="s">
        <v>153</v>
      </c>
      <c r="D22" s="53" t="s">
        <v>165</v>
      </c>
      <c r="E22" s="257" t="s">
        <v>821</v>
      </c>
      <c r="F22" s="152" t="s">
        <v>822</v>
      </c>
      <c r="G22" s="152" t="s">
        <v>790</v>
      </c>
      <c r="H22" s="151" t="s">
        <v>820</v>
      </c>
      <c r="I22" s="44"/>
      <c r="J22" s="44"/>
      <c r="K22" s="59" t="s">
        <v>155</v>
      </c>
      <c r="L22" s="262">
        <f t="shared" si="2"/>
        <v>958</v>
      </c>
      <c r="M22" s="263" t="s">
        <v>374</v>
      </c>
      <c r="N22" s="263" t="s">
        <v>374</v>
      </c>
      <c r="O22" s="263">
        <v>479</v>
      </c>
      <c r="P22" s="263">
        <v>479</v>
      </c>
      <c r="Q22" s="263" t="s">
        <v>374</v>
      </c>
      <c r="R22" s="263" t="s">
        <v>374</v>
      </c>
      <c r="S22" s="263" t="s">
        <v>374</v>
      </c>
      <c r="T22" s="263" t="s">
        <v>374</v>
      </c>
      <c r="U22" s="263"/>
      <c r="V22" s="263"/>
      <c r="W22" s="263"/>
      <c r="X22" s="263"/>
      <c r="Y22" s="263"/>
      <c r="Z22" s="264">
        <f t="shared" si="3"/>
        <v>958</v>
      </c>
      <c r="AB22" s="153">
        <f t="shared" si="4"/>
        <v>0</v>
      </c>
    </row>
    <row r="23" spans="1:28" ht="76.5" x14ac:dyDescent="0.25">
      <c r="A23" s="154" t="s">
        <v>775</v>
      </c>
      <c r="B23" s="53" t="s">
        <v>770</v>
      </c>
      <c r="C23" s="54" t="s">
        <v>153</v>
      </c>
      <c r="D23" s="53" t="s">
        <v>165</v>
      </c>
      <c r="E23" s="257" t="s">
        <v>823</v>
      </c>
      <c r="F23" s="152" t="s">
        <v>824</v>
      </c>
      <c r="G23" s="152" t="s">
        <v>790</v>
      </c>
      <c r="H23" s="151" t="s">
        <v>820</v>
      </c>
      <c r="I23" s="44"/>
      <c r="J23" s="44"/>
      <c r="K23" s="59" t="s">
        <v>155</v>
      </c>
      <c r="L23" s="262">
        <f t="shared" si="2"/>
        <v>6898</v>
      </c>
      <c r="M23" s="263" t="s">
        <v>374</v>
      </c>
      <c r="N23" s="263" t="s">
        <v>374</v>
      </c>
      <c r="O23" s="263">
        <v>3449</v>
      </c>
      <c r="P23" s="263">
        <v>3449</v>
      </c>
      <c r="Q23" s="263" t="s">
        <v>374</v>
      </c>
      <c r="R23" s="263" t="s">
        <v>374</v>
      </c>
      <c r="S23" s="263" t="s">
        <v>374</v>
      </c>
      <c r="T23" s="263" t="s">
        <v>374</v>
      </c>
      <c r="U23" s="263"/>
      <c r="V23" s="263"/>
      <c r="W23" s="263"/>
      <c r="X23" s="263"/>
      <c r="Y23" s="263"/>
      <c r="Z23" s="264">
        <f t="shared" si="3"/>
        <v>6898</v>
      </c>
      <c r="AB23" s="153">
        <f t="shared" si="4"/>
        <v>0</v>
      </c>
    </row>
    <row r="24" spans="1:28" ht="76.5" x14ac:dyDescent="0.25">
      <c r="A24" s="154" t="s">
        <v>776</v>
      </c>
      <c r="B24" s="53" t="s">
        <v>770</v>
      </c>
      <c r="C24" s="54" t="s">
        <v>153</v>
      </c>
      <c r="D24" s="53" t="s">
        <v>165</v>
      </c>
      <c r="E24" s="257" t="s">
        <v>825</v>
      </c>
      <c r="F24" s="152" t="s">
        <v>826</v>
      </c>
      <c r="G24" s="152" t="s">
        <v>790</v>
      </c>
      <c r="H24" s="151" t="s">
        <v>820</v>
      </c>
      <c r="I24" s="44"/>
      <c r="J24" s="44"/>
      <c r="K24" s="59" t="s">
        <v>155</v>
      </c>
      <c r="L24" s="262">
        <f t="shared" si="2"/>
        <v>6651.4</v>
      </c>
      <c r="M24" s="263" t="s">
        <v>374</v>
      </c>
      <c r="N24" s="263" t="s">
        <v>374</v>
      </c>
      <c r="O24" s="263">
        <v>3325.7</v>
      </c>
      <c r="P24" s="263">
        <v>3325.7</v>
      </c>
      <c r="Q24" s="263" t="s">
        <v>374</v>
      </c>
      <c r="R24" s="263" t="s">
        <v>374</v>
      </c>
      <c r="S24" s="263" t="s">
        <v>374</v>
      </c>
      <c r="T24" s="263" t="s">
        <v>374</v>
      </c>
      <c r="U24" s="263"/>
      <c r="V24" s="263"/>
      <c r="W24" s="263"/>
      <c r="X24" s="263"/>
      <c r="Y24" s="263"/>
      <c r="Z24" s="264">
        <f t="shared" si="3"/>
        <v>6651.4</v>
      </c>
      <c r="AB24" s="153">
        <f t="shared" si="4"/>
        <v>0</v>
      </c>
    </row>
    <row r="25" spans="1:28" ht="89.25" x14ac:dyDescent="0.25">
      <c r="A25" s="154" t="s">
        <v>777</v>
      </c>
      <c r="B25" s="53" t="s">
        <v>770</v>
      </c>
      <c r="C25" s="54" t="s">
        <v>153</v>
      </c>
      <c r="D25" s="53" t="s">
        <v>165</v>
      </c>
      <c r="E25" s="257" t="s">
        <v>827</v>
      </c>
      <c r="F25" s="152" t="s">
        <v>828</v>
      </c>
      <c r="G25" s="152" t="s">
        <v>790</v>
      </c>
      <c r="H25" s="151" t="s">
        <v>820</v>
      </c>
      <c r="I25" s="44"/>
      <c r="J25" s="44"/>
      <c r="K25" s="59" t="s">
        <v>155</v>
      </c>
      <c r="L25" s="262">
        <f t="shared" si="2"/>
        <v>10446.719999999999</v>
      </c>
      <c r="M25" s="263" t="s">
        <v>374</v>
      </c>
      <c r="N25" s="263" t="s">
        <v>374</v>
      </c>
      <c r="O25" s="263">
        <v>5223.3599999999997</v>
      </c>
      <c r="P25" s="263">
        <v>5223.3599999999997</v>
      </c>
      <c r="Q25" s="263" t="s">
        <v>374</v>
      </c>
      <c r="R25" s="263" t="s">
        <v>374</v>
      </c>
      <c r="S25" s="263" t="s">
        <v>374</v>
      </c>
      <c r="T25" s="263" t="s">
        <v>374</v>
      </c>
      <c r="U25" s="263"/>
      <c r="V25" s="263"/>
      <c r="W25" s="263"/>
      <c r="X25" s="263"/>
      <c r="Y25" s="263"/>
      <c r="Z25" s="264">
        <f t="shared" si="3"/>
        <v>10446.719999999999</v>
      </c>
      <c r="AB25" s="153">
        <f t="shared" si="4"/>
        <v>0</v>
      </c>
    </row>
    <row r="26" spans="1:28" ht="51" x14ac:dyDescent="0.25">
      <c r="A26" s="154" t="s">
        <v>778</v>
      </c>
      <c r="B26" s="53" t="s">
        <v>770</v>
      </c>
      <c r="C26" s="54" t="s">
        <v>153</v>
      </c>
      <c r="D26" s="53" t="s">
        <v>165</v>
      </c>
      <c r="E26" s="257" t="s">
        <v>829</v>
      </c>
      <c r="F26" s="152" t="s">
        <v>830</v>
      </c>
      <c r="G26" s="152" t="s">
        <v>790</v>
      </c>
      <c r="H26" s="151" t="s">
        <v>820</v>
      </c>
      <c r="I26" s="44"/>
      <c r="J26" s="44"/>
      <c r="K26" s="59" t="s">
        <v>155</v>
      </c>
      <c r="L26" s="262">
        <f t="shared" si="2"/>
        <v>1088.3</v>
      </c>
      <c r="M26" s="263" t="s">
        <v>374</v>
      </c>
      <c r="N26" s="263" t="s">
        <v>374</v>
      </c>
      <c r="O26" s="263">
        <v>544.15</v>
      </c>
      <c r="P26" s="263">
        <v>544.15</v>
      </c>
      <c r="Q26" s="263" t="s">
        <v>374</v>
      </c>
      <c r="R26" s="263" t="s">
        <v>374</v>
      </c>
      <c r="S26" s="263" t="s">
        <v>374</v>
      </c>
      <c r="T26" s="263" t="s">
        <v>374</v>
      </c>
      <c r="U26" s="263"/>
      <c r="V26" s="263"/>
      <c r="W26" s="263"/>
      <c r="X26" s="263"/>
      <c r="Y26" s="263"/>
      <c r="Z26" s="264">
        <f t="shared" si="3"/>
        <v>1088.3</v>
      </c>
      <c r="AB26" s="153">
        <f t="shared" si="4"/>
        <v>0</v>
      </c>
    </row>
    <row r="27" spans="1:28" ht="63.75" x14ac:dyDescent="0.25">
      <c r="A27" s="154" t="s">
        <v>779</v>
      </c>
      <c r="B27" s="53" t="s">
        <v>770</v>
      </c>
      <c r="C27" s="54" t="s">
        <v>153</v>
      </c>
      <c r="D27" s="53" t="s">
        <v>165</v>
      </c>
      <c r="E27" s="257" t="s">
        <v>831</v>
      </c>
      <c r="F27" s="152" t="s">
        <v>832</v>
      </c>
      <c r="G27" s="152" t="s">
        <v>790</v>
      </c>
      <c r="H27" s="151" t="s">
        <v>316</v>
      </c>
      <c r="I27" s="44"/>
      <c r="J27" s="44"/>
      <c r="K27" s="59" t="s">
        <v>155</v>
      </c>
      <c r="L27" s="262">
        <f t="shared" si="2"/>
        <v>10812.33</v>
      </c>
      <c r="M27" s="263">
        <v>10812.33</v>
      </c>
      <c r="N27" s="263" t="s">
        <v>374</v>
      </c>
      <c r="O27" s="263" t="s">
        <v>374</v>
      </c>
      <c r="P27" s="263" t="s">
        <v>374</v>
      </c>
      <c r="Q27" s="263" t="s">
        <v>374</v>
      </c>
      <c r="R27" s="263" t="s">
        <v>374</v>
      </c>
      <c r="S27" s="263" t="s">
        <v>374</v>
      </c>
      <c r="T27" s="263" t="s">
        <v>374</v>
      </c>
      <c r="U27" s="263"/>
      <c r="V27" s="263"/>
      <c r="W27" s="263"/>
      <c r="X27" s="263"/>
      <c r="Y27" s="263"/>
      <c r="Z27" s="264">
        <f t="shared" si="3"/>
        <v>10812.33</v>
      </c>
      <c r="AB27" s="153">
        <f t="shared" si="4"/>
        <v>0</v>
      </c>
    </row>
    <row r="28" spans="1:28" ht="76.5" x14ac:dyDescent="0.25">
      <c r="A28" s="154" t="s">
        <v>780</v>
      </c>
      <c r="B28" s="53" t="s">
        <v>770</v>
      </c>
      <c r="C28" s="54" t="s">
        <v>153</v>
      </c>
      <c r="D28" s="53" t="s">
        <v>165</v>
      </c>
      <c r="E28" s="257" t="s">
        <v>833</v>
      </c>
      <c r="F28" s="152" t="s">
        <v>834</v>
      </c>
      <c r="G28" s="152" t="s">
        <v>790</v>
      </c>
      <c r="H28" s="151">
        <v>2023</v>
      </c>
      <c r="I28" s="44"/>
      <c r="J28" s="44"/>
      <c r="K28" s="59" t="s">
        <v>155</v>
      </c>
      <c r="L28" s="262">
        <f t="shared" si="2"/>
        <v>9525.130000000001</v>
      </c>
      <c r="M28" s="263">
        <v>9525.130000000001</v>
      </c>
      <c r="N28" s="263" t="s">
        <v>374</v>
      </c>
      <c r="O28" s="263" t="s">
        <v>374</v>
      </c>
      <c r="P28" s="263" t="s">
        <v>374</v>
      </c>
      <c r="Q28" s="263" t="s">
        <v>374</v>
      </c>
      <c r="R28" s="263" t="s">
        <v>374</v>
      </c>
      <c r="S28" s="263" t="s">
        <v>374</v>
      </c>
      <c r="T28" s="263" t="s">
        <v>374</v>
      </c>
      <c r="U28" s="263"/>
      <c r="V28" s="263"/>
      <c r="W28" s="263"/>
      <c r="X28" s="263"/>
      <c r="Y28" s="263"/>
      <c r="Z28" s="264">
        <f t="shared" si="3"/>
        <v>9525.130000000001</v>
      </c>
      <c r="AB28" s="153">
        <f t="shared" si="4"/>
        <v>0</v>
      </c>
    </row>
    <row r="29" spans="1:28" ht="63.75" x14ac:dyDescent="0.25">
      <c r="A29" s="154" t="s">
        <v>781</v>
      </c>
      <c r="B29" s="53" t="s">
        <v>770</v>
      </c>
      <c r="C29" s="54" t="s">
        <v>153</v>
      </c>
      <c r="D29" s="53" t="s">
        <v>165</v>
      </c>
      <c r="E29" s="257" t="s">
        <v>835</v>
      </c>
      <c r="F29" s="152" t="s">
        <v>836</v>
      </c>
      <c r="G29" s="152" t="s">
        <v>790</v>
      </c>
      <c r="H29" s="151">
        <v>2023</v>
      </c>
      <c r="I29" s="44"/>
      <c r="J29" s="44"/>
      <c r="K29" s="59" t="s">
        <v>155</v>
      </c>
      <c r="L29" s="262">
        <f t="shared" si="2"/>
        <v>216.64</v>
      </c>
      <c r="M29" s="263">
        <v>216.64</v>
      </c>
      <c r="N29" s="263" t="s">
        <v>374</v>
      </c>
      <c r="O29" s="263" t="s">
        <v>374</v>
      </c>
      <c r="P29" s="263" t="s">
        <v>374</v>
      </c>
      <c r="Q29" s="263" t="s">
        <v>374</v>
      </c>
      <c r="R29" s="263" t="s">
        <v>374</v>
      </c>
      <c r="S29" s="263" t="s">
        <v>374</v>
      </c>
      <c r="T29" s="263" t="s">
        <v>374</v>
      </c>
      <c r="U29" s="263"/>
      <c r="V29" s="263"/>
      <c r="W29" s="263"/>
      <c r="X29" s="263"/>
      <c r="Y29" s="263"/>
      <c r="Z29" s="264">
        <f t="shared" si="3"/>
        <v>216.64</v>
      </c>
      <c r="AB29" s="153">
        <f t="shared" si="4"/>
        <v>0</v>
      </c>
    </row>
    <row r="30" spans="1:28" ht="38.25" x14ac:dyDescent="0.25">
      <c r="A30" s="154" t="s">
        <v>782</v>
      </c>
      <c r="B30" s="53" t="s">
        <v>770</v>
      </c>
      <c r="C30" s="54" t="s">
        <v>153</v>
      </c>
      <c r="D30" s="53" t="s">
        <v>165</v>
      </c>
      <c r="E30" s="257" t="s">
        <v>837</v>
      </c>
      <c r="F30" s="152" t="s">
        <v>838</v>
      </c>
      <c r="G30" s="152" t="s">
        <v>790</v>
      </c>
      <c r="H30" s="151" t="s">
        <v>839</v>
      </c>
      <c r="I30" s="44"/>
      <c r="J30" s="44"/>
      <c r="K30" s="59" t="s">
        <v>155</v>
      </c>
      <c r="L30" s="262">
        <f t="shared" si="2"/>
        <v>15398.61</v>
      </c>
      <c r="M30" s="263">
        <v>5132.87</v>
      </c>
      <c r="N30" s="263">
        <v>5132.87</v>
      </c>
      <c r="O30" s="263">
        <v>5132.87</v>
      </c>
      <c r="P30" s="263" t="s">
        <v>374</v>
      </c>
      <c r="Q30" s="263" t="s">
        <v>374</v>
      </c>
      <c r="R30" s="263" t="s">
        <v>374</v>
      </c>
      <c r="S30" s="263" t="s">
        <v>374</v>
      </c>
      <c r="T30" s="263" t="s">
        <v>374</v>
      </c>
      <c r="U30" s="263"/>
      <c r="V30" s="263"/>
      <c r="W30" s="263"/>
      <c r="X30" s="263"/>
      <c r="Y30" s="263"/>
      <c r="Z30" s="264">
        <f t="shared" si="3"/>
        <v>15398.61</v>
      </c>
      <c r="AB30" s="153">
        <f t="shared" si="4"/>
        <v>0</v>
      </c>
    </row>
    <row r="31" spans="1:28" ht="76.5" x14ac:dyDescent="0.25">
      <c r="A31" s="154" t="s">
        <v>783</v>
      </c>
      <c r="B31" s="53" t="s">
        <v>770</v>
      </c>
      <c r="C31" s="54" t="s">
        <v>153</v>
      </c>
      <c r="D31" s="53" t="s">
        <v>165</v>
      </c>
      <c r="E31" s="257" t="s">
        <v>840</v>
      </c>
      <c r="F31" s="152" t="s">
        <v>841</v>
      </c>
      <c r="G31" s="152" t="s">
        <v>790</v>
      </c>
      <c r="H31" s="151" t="s">
        <v>820</v>
      </c>
      <c r="I31" s="44"/>
      <c r="J31" s="44"/>
      <c r="K31" s="59" t="s">
        <v>155</v>
      </c>
      <c r="L31" s="262">
        <f t="shared" si="2"/>
        <v>3201.72</v>
      </c>
      <c r="M31" s="263" t="s">
        <v>374</v>
      </c>
      <c r="N31" s="263" t="s">
        <v>374</v>
      </c>
      <c r="O31" s="263">
        <v>1600.86</v>
      </c>
      <c r="P31" s="263">
        <v>1600.86</v>
      </c>
      <c r="Q31" s="263" t="s">
        <v>374</v>
      </c>
      <c r="R31" s="263" t="s">
        <v>374</v>
      </c>
      <c r="S31" s="263" t="s">
        <v>374</v>
      </c>
      <c r="T31" s="263" t="s">
        <v>374</v>
      </c>
      <c r="U31" s="263"/>
      <c r="V31" s="263"/>
      <c r="W31" s="263"/>
      <c r="X31" s="263"/>
      <c r="Y31" s="263"/>
      <c r="Z31" s="264">
        <f t="shared" si="3"/>
        <v>3201.72</v>
      </c>
      <c r="AB31" s="153">
        <f t="shared" si="4"/>
        <v>0</v>
      </c>
    </row>
    <row r="32" spans="1:28" ht="76.5" x14ac:dyDescent="0.25">
      <c r="A32" s="154" t="s">
        <v>784</v>
      </c>
      <c r="B32" s="53" t="s">
        <v>770</v>
      </c>
      <c r="C32" s="54" t="s">
        <v>153</v>
      </c>
      <c r="D32" s="53" t="s">
        <v>165</v>
      </c>
      <c r="E32" s="257" t="s">
        <v>842</v>
      </c>
      <c r="F32" s="152" t="s">
        <v>843</v>
      </c>
      <c r="G32" s="152" t="s">
        <v>790</v>
      </c>
      <c r="H32" s="151" t="s">
        <v>314</v>
      </c>
      <c r="I32" s="44"/>
      <c r="J32" s="44"/>
      <c r="K32" s="59" t="s">
        <v>155</v>
      </c>
      <c r="L32" s="262">
        <f t="shared" si="2"/>
        <v>10389.085500000003</v>
      </c>
      <c r="M32" s="263" t="s">
        <v>374</v>
      </c>
      <c r="N32" s="263">
        <v>1086.7</v>
      </c>
      <c r="O32" s="263">
        <v>9302.3855000000021</v>
      </c>
      <c r="P32" s="263" t="s">
        <v>374</v>
      </c>
      <c r="Q32" s="263" t="s">
        <v>374</v>
      </c>
      <c r="R32" s="263" t="s">
        <v>374</v>
      </c>
      <c r="S32" s="263" t="s">
        <v>374</v>
      </c>
      <c r="T32" s="263" t="s">
        <v>374</v>
      </c>
      <c r="U32" s="263"/>
      <c r="V32" s="263"/>
      <c r="W32" s="263"/>
      <c r="X32" s="263"/>
      <c r="Y32" s="263"/>
      <c r="Z32" s="264">
        <f t="shared" si="3"/>
        <v>10389.085500000003</v>
      </c>
      <c r="AB32" s="153">
        <f t="shared" si="4"/>
        <v>0</v>
      </c>
    </row>
    <row r="33" spans="1:28" ht="63.75" x14ac:dyDescent="0.25">
      <c r="A33" s="154" t="s">
        <v>785</v>
      </c>
      <c r="B33" s="53" t="s">
        <v>770</v>
      </c>
      <c r="C33" s="54" t="s">
        <v>153</v>
      </c>
      <c r="D33" s="53" t="s">
        <v>165</v>
      </c>
      <c r="E33" s="257" t="s">
        <v>844</v>
      </c>
      <c r="F33" s="152" t="s">
        <v>845</v>
      </c>
      <c r="G33" s="152" t="s">
        <v>790</v>
      </c>
      <c r="H33" s="151" t="s">
        <v>846</v>
      </c>
      <c r="I33" s="44"/>
      <c r="J33" s="44"/>
      <c r="K33" s="59" t="s">
        <v>155</v>
      </c>
      <c r="L33" s="262">
        <f t="shared" si="2"/>
        <v>29987.970000000005</v>
      </c>
      <c r="M33" s="263" t="s">
        <v>374</v>
      </c>
      <c r="N33" s="263" t="s">
        <v>374</v>
      </c>
      <c r="O33" s="263" t="s">
        <v>374</v>
      </c>
      <c r="P33" s="263">
        <v>9995.9900000000016</v>
      </c>
      <c r="Q33" s="263">
        <v>9995.9900000000016</v>
      </c>
      <c r="R33" s="263">
        <v>9995.9900000000016</v>
      </c>
      <c r="S33" s="263" t="s">
        <v>374</v>
      </c>
      <c r="T33" s="263" t="s">
        <v>374</v>
      </c>
      <c r="U33" s="263"/>
      <c r="V33" s="263"/>
      <c r="W33" s="263"/>
      <c r="X33" s="263"/>
      <c r="Y33" s="263"/>
      <c r="Z33" s="264">
        <f t="shared" si="3"/>
        <v>29987.970000000005</v>
      </c>
      <c r="AB33" s="153">
        <f t="shared" si="4"/>
        <v>0</v>
      </c>
    </row>
    <row r="34" spans="1:28" ht="51" x14ac:dyDescent="0.25">
      <c r="A34" s="154" t="s">
        <v>786</v>
      </c>
      <c r="B34" s="53" t="s">
        <v>770</v>
      </c>
      <c r="C34" s="54" t="s">
        <v>153</v>
      </c>
      <c r="D34" s="53" t="s">
        <v>165</v>
      </c>
      <c r="E34" s="257" t="s">
        <v>847</v>
      </c>
      <c r="F34" s="152" t="s">
        <v>848</v>
      </c>
      <c r="G34" s="152" t="s">
        <v>790</v>
      </c>
      <c r="H34" s="151" t="s">
        <v>406</v>
      </c>
      <c r="I34" s="44"/>
      <c r="J34" s="44"/>
      <c r="K34" s="59" t="s">
        <v>155</v>
      </c>
      <c r="L34" s="262">
        <f t="shared" si="2"/>
        <v>21310.1</v>
      </c>
      <c r="M34" s="263" t="s">
        <v>374</v>
      </c>
      <c r="N34" s="263" t="s">
        <v>374</v>
      </c>
      <c r="O34" s="263" t="s">
        <v>374</v>
      </c>
      <c r="P34" s="263">
        <v>14917.1</v>
      </c>
      <c r="Q34" s="263">
        <v>6393</v>
      </c>
      <c r="R34" s="263" t="s">
        <v>374</v>
      </c>
      <c r="S34" s="263" t="s">
        <v>374</v>
      </c>
      <c r="T34" s="263" t="s">
        <v>374</v>
      </c>
      <c r="U34" s="263"/>
      <c r="V34" s="263"/>
      <c r="W34" s="263"/>
      <c r="X34" s="263"/>
      <c r="Y34" s="263"/>
      <c r="Z34" s="264">
        <f t="shared" si="3"/>
        <v>21310.1</v>
      </c>
      <c r="AB34" s="153">
        <f t="shared" si="4"/>
        <v>0</v>
      </c>
    </row>
    <row r="35" spans="1:28" ht="51" x14ac:dyDescent="0.25">
      <c r="A35" s="154" t="s">
        <v>787</v>
      </c>
      <c r="B35" s="53" t="s">
        <v>770</v>
      </c>
      <c r="C35" s="54" t="s">
        <v>153</v>
      </c>
      <c r="D35" s="53" t="s">
        <v>165</v>
      </c>
      <c r="E35" s="258" t="s">
        <v>849</v>
      </c>
      <c r="F35" s="152" t="s">
        <v>850</v>
      </c>
      <c r="G35" s="152" t="s">
        <v>790</v>
      </c>
      <c r="H35" s="143" t="s">
        <v>636</v>
      </c>
      <c r="I35" s="146"/>
      <c r="J35" s="146"/>
      <c r="K35" s="59" t="s">
        <v>155</v>
      </c>
      <c r="L35" s="262">
        <f t="shared" si="2"/>
        <v>15656.2078</v>
      </c>
      <c r="M35" s="265" t="s">
        <v>374</v>
      </c>
      <c r="N35" s="265" t="s">
        <v>374</v>
      </c>
      <c r="O35" s="265"/>
      <c r="P35" s="265">
        <v>1496.8</v>
      </c>
      <c r="Q35" s="265">
        <v>14159.407800000001</v>
      </c>
      <c r="R35" s="265" t="s">
        <v>374</v>
      </c>
      <c r="S35" s="265" t="s">
        <v>374</v>
      </c>
      <c r="T35" s="265" t="s">
        <v>374</v>
      </c>
      <c r="U35" s="265"/>
      <c r="V35" s="265"/>
      <c r="W35" s="265"/>
      <c r="X35" s="265"/>
      <c r="Y35" s="265"/>
      <c r="Z35" s="264">
        <f t="shared" si="3"/>
        <v>15656.2078</v>
      </c>
      <c r="AB35" s="153">
        <f t="shared" si="4"/>
        <v>0</v>
      </c>
    </row>
    <row r="36" spans="1:28" x14ac:dyDescent="0.25">
      <c r="A36" s="145">
        <v>2</v>
      </c>
      <c r="B36" s="449" t="s">
        <v>307</v>
      </c>
      <c r="C36" s="449"/>
      <c r="D36" s="449"/>
      <c r="E36" s="449"/>
      <c r="F36" s="449"/>
      <c r="G36" s="449"/>
      <c r="H36" s="449"/>
      <c r="I36" s="449"/>
      <c r="J36" s="449"/>
      <c r="K36" s="449"/>
      <c r="L36" s="266">
        <f t="shared" ref="L36:Q36" si="5">SUM(L37:L55)</f>
        <v>46393.698799999991</v>
      </c>
      <c r="M36" s="266">
        <f t="shared" si="5"/>
        <v>4771.2699999999995</v>
      </c>
      <c r="N36" s="266">
        <f t="shared" si="5"/>
        <v>13178.68</v>
      </c>
      <c r="O36" s="266">
        <f t="shared" si="5"/>
        <v>9801.7999999999993</v>
      </c>
      <c r="P36" s="266">
        <f t="shared" si="5"/>
        <v>9801.7999999999993</v>
      </c>
      <c r="Q36" s="266">
        <f t="shared" si="5"/>
        <v>8840.1487999999936</v>
      </c>
      <c r="R36" s="266"/>
      <c r="S36" s="266"/>
      <c r="T36" s="266"/>
      <c r="U36" s="266"/>
      <c r="V36" s="266"/>
      <c r="W36" s="266"/>
      <c r="X36" s="266"/>
      <c r="Y36" s="266"/>
      <c r="Z36" s="266">
        <f>SUM(Z37:Z55)</f>
        <v>46393.698799999991</v>
      </c>
      <c r="AB36" s="153">
        <f t="shared" si="4"/>
        <v>0</v>
      </c>
    </row>
    <row r="37" spans="1:28" ht="76.5" x14ac:dyDescent="0.25">
      <c r="A37" s="150" t="s">
        <v>119</v>
      </c>
      <c r="B37" s="53" t="s">
        <v>770</v>
      </c>
      <c r="C37" s="54" t="s">
        <v>164</v>
      </c>
      <c r="D37" s="53" t="s">
        <v>165</v>
      </c>
      <c r="E37" s="257" t="s">
        <v>851</v>
      </c>
      <c r="F37" s="152" t="s">
        <v>838</v>
      </c>
      <c r="G37" s="152" t="s">
        <v>790</v>
      </c>
      <c r="H37" s="151" t="s">
        <v>852</v>
      </c>
      <c r="I37" s="44"/>
      <c r="J37" s="44"/>
      <c r="K37" s="59" t="s">
        <v>166</v>
      </c>
      <c r="L37" s="259">
        <f t="shared" ref="L37:L38" si="6">SUM(M37:Y37)</f>
        <v>42395.848799999992</v>
      </c>
      <c r="M37" s="260">
        <v>4150.2999999999993</v>
      </c>
      <c r="N37" s="260">
        <v>9801.7999999999993</v>
      </c>
      <c r="O37" s="260">
        <v>9801.7999999999993</v>
      </c>
      <c r="P37" s="260">
        <v>9801.7999999999993</v>
      </c>
      <c r="Q37" s="260">
        <v>8840.1487999999936</v>
      </c>
      <c r="R37" s="260" t="s">
        <v>374</v>
      </c>
      <c r="S37" s="260" t="s">
        <v>374</v>
      </c>
      <c r="T37" s="260" t="s">
        <v>374</v>
      </c>
      <c r="U37" s="260"/>
      <c r="V37" s="260"/>
      <c r="W37" s="260"/>
      <c r="X37" s="260"/>
      <c r="Y37" s="260"/>
      <c r="Z37" s="158">
        <f t="shared" ref="Z37:Z55" si="7">SUM(M37:Q37)</f>
        <v>42395.848799999992</v>
      </c>
      <c r="AB37" s="153">
        <f t="shared" si="4"/>
        <v>0</v>
      </c>
    </row>
    <row r="38" spans="1:28" ht="76.5" x14ac:dyDescent="0.25">
      <c r="A38" s="150" t="s">
        <v>121</v>
      </c>
      <c r="B38" s="53" t="s">
        <v>769</v>
      </c>
      <c r="C38" s="54" t="s">
        <v>164</v>
      </c>
      <c r="D38" s="53" t="s">
        <v>165</v>
      </c>
      <c r="E38" s="146" t="s">
        <v>853</v>
      </c>
      <c r="F38" s="146"/>
      <c r="G38" s="152" t="s">
        <v>854</v>
      </c>
      <c r="H38" s="152" t="s">
        <v>313</v>
      </c>
      <c r="I38" s="146"/>
      <c r="J38" s="146"/>
      <c r="K38" s="59" t="s">
        <v>166</v>
      </c>
      <c r="L38" s="259">
        <f t="shared" si="6"/>
        <v>3997.8500000000004</v>
      </c>
      <c r="M38" s="261">
        <v>620.96999999999991</v>
      </c>
      <c r="N38" s="261">
        <v>3376.8800000000006</v>
      </c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8">
        <f t="shared" si="7"/>
        <v>3997.8500000000004</v>
      </c>
      <c r="AB38" s="153">
        <f t="shared" si="4"/>
        <v>0</v>
      </c>
    </row>
    <row r="39" spans="1:28" x14ac:dyDescent="0.25">
      <c r="A39" s="150" t="s">
        <v>138</v>
      </c>
      <c r="B39" s="53"/>
      <c r="C39" s="54"/>
      <c r="D39" s="53"/>
      <c r="E39" s="146"/>
      <c r="F39" s="146"/>
      <c r="G39" s="146"/>
      <c r="H39" s="146"/>
      <c r="I39" s="146"/>
      <c r="J39" s="146"/>
      <c r="K39" s="142"/>
      <c r="L39" s="156">
        <f t="shared" ref="L39:L55" si="8">SUM(M39:Q39)</f>
        <v>0</v>
      </c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8">
        <f t="shared" si="7"/>
        <v>0</v>
      </c>
      <c r="AB39" s="153">
        <f t="shared" si="4"/>
        <v>0</v>
      </c>
    </row>
    <row r="40" spans="1:28" x14ac:dyDescent="0.25">
      <c r="A40" s="150" t="s">
        <v>139</v>
      </c>
      <c r="B40" s="53"/>
      <c r="C40" s="54"/>
      <c r="D40" s="53"/>
      <c r="E40" s="146"/>
      <c r="F40" s="146"/>
      <c r="G40" s="146"/>
      <c r="H40" s="146"/>
      <c r="I40" s="146"/>
      <c r="J40" s="146"/>
      <c r="K40" s="142"/>
      <c r="L40" s="156">
        <f t="shared" si="8"/>
        <v>0</v>
      </c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8">
        <f t="shared" si="7"/>
        <v>0</v>
      </c>
      <c r="AB40" s="153">
        <f t="shared" si="4"/>
        <v>0</v>
      </c>
    </row>
    <row r="41" spans="1:28" x14ac:dyDescent="0.25">
      <c r="A41" s="150" t="s">
        <v>328</v>
      </c>
      <c r="B41" s="53"/>
      <c r="C41" s="54"/>
      <c r="D41" s="53"/>
      <c r="E41" s="146"/>
      <c r="F41" s="146"/>
      <c r="G41" s="146"/>
      <c r="H41" s="146"/>
      <c r="I41" s="146"/>
      <c r="J41" s="146"/>
      <c r="K41" s="142"/>
      <c r="L41" s="156">
        <f t="shared" si="8"/>
        <v>0</v>
      </c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8">
        <f t="shared" si="7"/>
        <v>0</v>
      </c>
      <c r="AB41" s="153">
        <f t="shared" si="4"/>
        <v>0</v>
      </c>
    </row>
    <row r="42" spans="1:28" x14ac:dyDescent="0.25">
      <c r="A42" s="150" t="s">
        <v>329</v>
      </c>
      <c r="B42" s="53"/>
      <c r="C42" s="54"/>
      <c r="D42" s="53"/>
      <c r="E42" s="146"/>
      <c r="F42" s="146"/>
      <c r="G42" s="146"/>
      <c r="H42" s="146"/>
      <c r="I42" s="146"/>
      <c r="J42" s="146"/>
      <c r="K42" s="142"/>
      <c r="L42" s="156">
        <f t="shared" si="8"/>
        <v>0</v>
      </c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8">
        <f t="shared" si="7"/>
        <v>0</v>
      </c>
      <c r="AB42" s="153">
        <f t="shared" si="4"/>
        <v>0</v>
      </c>
    </row>
    <row r="43" spans="1:28" x14ac:dyDescent="0.25">
      <c r="A43" s="150" t="s">
        <v>330</v>
      </c>
      <c r="B43" s="53"/>
      <c r="C43" s="54"/>
      <c r="D43" s="53"/>
      <c r="E43" s="146"/>
      <c r="F43" s="146"/>
      <c r="G43" s="146"/>
      <c r="H43" s="146"/>
      <c r="I43" s="146"/>
      <c r="J43" s="146"/>
      <c r="K43" s="142"/>
      <c r="L43" s="156">
        <f t="shared" si="8"/>
        <v>0</v>
      </c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8">
        <f t="shared" si="7"/>
        <v>0</v>
      </c>
      <c r="AB43" s="153">
        <f t="shared" si="4"/>
        <v>0</v>
      </c>
    </row>
    <row r="44" spans="1:28" x14ac:dyDescent="0.25">
      <c r="A44" s="150" t="s">
        <v>331</v>
      </c>
      <c r="B44" s="53"/>
      <c r="C44" s="54"/>
      <c r="D44" s="53"/>
      <c r="E44" s="146"/>
      <c r="F44" s="146"/>
      <c r="G44" s="146"/>
      <c r="H44" s="146"/>
      <c r="I44" s="146"/>
      <c r="J44" s="146"/>
      <c r="K44" s="142"/>
      <c r="L44" s="156">
        <f t="shared" si="8"/>
        <v>0</v>
      </c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8">
        <f t="shared" si="7"/>
        <v>0</v>
      </c>
      <c r="AB44" s="153">
        <f t="shared" si="4"/>
        <v>0</v>
      </c>
    </row>
    <row r="45" spans="1:28" x14ac:dyDescent="0.25">
      <c r="A45" s="150" t="s">
        <v>332</v>
      </c>
      <c r="B45" s="53"/>
      <c r="C45" s="54"/>
      <c r="D45" s="53"/>
      <c r="E45" s="146"/>
      <c r="F45" s="146"/>
      <c r="G45" s="146"/>
      <c r="H45" s="146"/>
      <c r="I45" s="146"/>
      <c r="J45" s="146"/>
      <c r="K45" s="142"/>
      <c r="L45" s="156">
        <f t="shared" si="8"/>
        <v>0</v>
      </c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8">
        <f t="shared" si="7"/>
        <v>0</v>
      </c>
      <c r="AB45" s="153">
        <f t="shared" si="4"/>
        <v>0</v>
      </c>
    </row>
    <row r="46" spans="1:28" x14ac:dyDescent="0.25">
      <c r="A46" s="150" t="s">
        <v>333</v>
      </c>
      <c r="B46" s="53"/>
      <c r="C46" s="54"/>
      <c r="D46" s="53"/>
      <c r="E46" s="146"/>
      <c r="F46" s="146"/>
      <c r="G46" s="146"/>
      <c r="H46" s="146"/>
      <c r="I46" s="146"/>
      <c r="J46" s="146"/>
      <c r="K46" s="142"/>
      <c r="L46" s="156">
        <f t="shared" si="8"/>
        <v>0</v>
      </c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8">
        <f t="shared" si="7"/>
        <v>0</v>
      </c>
      <c r="AB46" s="153">
        <f t="shared" si="4"/>
        <v>0</v>
      </c>
    </row>
    <row r="47" spans="1:28" x14ac:dyDescent="0.25">
      <c r="A47" s="150" t="s">
        <v>334</v>
      </c>
      <c r="B47" s="53"/>
      <c r="C47" s="54"/>
      <c r="D47" s="53"/>
      <c r="E47" s="146"/>
      <c r="F47" s="146"/>
      <c r="G47" s="146"/>
      <c r="H47" s="146"/>
      <c r="I47" s="146"/>
      <c r="J47" s="146"/>
      <c r="K47" s="142"/>
      <c r="L47" s="156">
        <f t="shared" si="8"/>
        <v>0</v>
      </c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8">
        <f t="shared" si="7"/>
        <v>0</v>
      </c>
      <c r="AB47" s="153">
        <f t="shared" si="4"/>
        <v>0</v>
      </c>
    </row>
    <row r="48" spans="1:28" x14ac:dyDescent="0.25">
      <c r="A48" s="150" t="s">
        <v>335</v>
      </c>
      <c r="B48" s="53"/>
      <c r="C48" s="54"/>
      <c r="D48" s="53"/>
      <c r="E48" s="146"/>
      <c r="F48" s="146"/>
      <c r="G48" s="146"/>
      <c r="H48" s="146"/>
      <c r="I48" s="146"/>
      <c r="J48" s="146"/>
      <c r="K48" s="142"/>
      <c r="L48" s="156">
        <f t="shared" si="8"/>
        <v>0</v>
      </c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8">
        <f t="shared" si="7"/>
        <v>0</v>
      </c>
      <c r="AB48" s="153">
        <f t="shared" si="4"/>
        <v>0</v>
      </c>
    </row>
    <row r="49" spans="1:28" x14ac:dyDescent="0.25">
      <c r="A49" s="150" t="s">
        <v>336</v>
      </c>
      <c r="B49" s="53"/>
      <c r="C49" s="54"/>
      <c r="D49" s="53"/>
      <c r="E49" s="146"/>
      <c r="F49" s="146"/>
      <c r="G49" s="146"/>
      <c r="H49" s="146"/>
      <c r="I49" s="146"/>
      <c r="J49" s="146"/>
      <c r="K49" s="142"/>
      <c r="L49" s="156">
        <f t="shared" si="8"/>
        <v>0</v>
      </c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8">
        <f t="shared" si="7"/>
        <v>0</v>
      </c>
      <c r="AB49" s="153">
        <f t="shared" si="4"/>
        <v>0</v>
      </c>
    </row>
    <row r="50" spans="1:28" x14ac:dyDescent="0.25">
      <c r="A50" s="150" t="s">
        <v>337</v>
      </c>
      <c r="B50" s="53"/>
      <c r="C50" s="54"/>
      <c r="D50" s="53"/>
      <c r="E50" s="146"/>
      <c r="F50" s="146"/>
      <c r="G50" s="146"/>
      <c r="H50" s="146"/>
      <c r="I50" s="146"/>
      <c r="J50" s="146"/>
      <c r="K50" s="142"/>
      <c r="L50" s="156">
        <f t="shared" si="8"/>
        <v>0</v>
      </c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8">
        <f t="shared" si="7"/>
        <v>0</v>
      </c>
      <c r="AB50" s="153">
        <f t="shared" si="4"/>
        <v>0</v>
      </c>
    </row>
    <row r="51" spans="1:28" x14ac:dyDescent="0.25">
      <c r="A51" s="150" t="s">
        <v>338</v>
      </c>
      <c r="B51" s="53"/>
      <c r="C51" s="54"/>
      <c r="D51" s="53"/>
      <c r="E51" s="146"/>
      <c r="F51" s="146"/>
      <c r="G51" s="146"/>
      <c r="H51" s="146"/>
      <c r="I51" s="146"/>
      <c r="J51" s="146"/>
      <c r="K51" s="142"/>
      <c r="L51" s="156">
        <f t="shared" si="8"/>
        <v>0</v>
      </c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8">
        <f t="shared" si="7"/>
        <v>0</v>
      </c>
      <c r="AB51" s="153">
        <f t="shared" si="4"/>
        <v>0</v>
      </c>
    </row>
    <row r="52" spans="1:28" x14ac:dyDescent="0.25">
      <c r="A52" s="150" t="s">
        <v>339</v>
      </c>
      <c r="B52" s="53"/>
      <c r="C52" s="54"/>
      <c r="D52" s="53"/>
      <c r="E52" s="146"/>
      <c r="F52" s="146"/>
      <c r="G52" s="146"/>
      <c r="H52" s="146"/>
      <c r="I52" s="146"/>
      <c r="J52" s="146"/>
      <c r="K52" s="142"/>
      <c r="L52" s="156">
        <f t="shared" si="8"/>
        <v>0</v>
      </c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8">
        <f t="shared" si="7"/>
        <v>0</v>
      </c>
      <c r="AB52" s="153">
        <f t="shared" si="4"/>
        <v>0</v>
      </c>
    </row>
    <row r="53" spans="1:28" x14ac:dyDescent="0.25">
      <c r="A53" s="150" t="s">
        <v>340</v>
      </c>
      <c r="B53" s="53"/>
      <c r="C53" s="54"/>
      <c r="D53" s="53"/>
      <c r="E53" s="146"/>
      <c r="F53" s="146"/>
      <c r="G53" s="146"/>
      <c r="H53" s="146"/>
      <c r="I53" s="146"/>
      <c r="J53" s="146"/>
      <c r="K53" s="142"/>
      <c r="L53" s="156">
        <f t="shared" si="8"/>
        <v>0</v>
      </c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8">
        <f t="shared" si="7"/>
        <v>0</v>
      </c>
      <c r="AB53" s="153">
        <f t="shared" si="4"/>
        <v>0</v>
      </c>
    </row>
    <row r="54" spans="1:28" x14ac:dyDescent="0.25">
      <c r="A54" s="150" t="s">
        <v>341</v>
      </c>
      <c r="B54" s="53"/>
      <c r="C54" s="54"/>
      <c r="D54" s="53"/>
      <c r="E54" s="146"/>
      <c r="F54" s="160"/>
      <c r="G54" s="146"/>
      <c r="H54" s="146"/>
      <c r="I54" s="146"/>
      <c r="J54" s="146"/>
      <c r="K54" s="142"/>
      <c r="L54" s="156">
        <f t="shared" si="8"/>
        <v>0</v>
      </c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8">
        <f t="shared" si="7"/>
        <v>0</v>
      </c>
      <c r="AB54" s="153">
        <f t="shared" si="4"/>
        <v>0</v>
      </c>
    </row>
    <row r="55" spans="1:28" x14ac:dyDescent="0.25">
      <c r="A55" s="150" t="s">
        <v>342</v>
      </c>
      <c r="B55" s="53"/>
      <c r="C55" s="54"/>
      <c r="D55" s="53"/>
      <c r="E55" s="146"/>
      <c r="F55" s="160"/>
      <c r="G55" s="146"/>
      <c r="H55" s="146"/>
      <c r="I55" s="146"/>
      <c r="J55" s="146"/>
      <c r="K55" s="142"/>
      <c r="L55" s="156">
        <f t="shared" si="8"/>
        <v>0</v>
      </c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8">
        <f t="shared" si="7"/>
        <v>0</v>
      </c>
      <c r="AB55" s="153">
        <f t="shared" si="4"/>
        <v>0</v>
      </c>
    </row>
    <row r="56" spans="1:28" x14ac:dyDescent="0.25">
      <c r="A56" s="448" t="s">
        <v>170</v>
      </c>
      <c r="B56" s="448"/>
      <c r="C56" s="448"/>
      <c r="D56" s="448"/>
      <c r="E56" s="448"/>
      <c r="F56" s="448"/>
      <c r="G56" s="448"/>
      <c r="H56" s="448"/>
      <c r="I56" s="448"/>
      <c r="J56" s="448"/>
      <c r="K56" s="448"/>
      <c r="L56" s="157">
        <f t="shared" ref="L56:Q56" si="9">L3+L36</f>
        <v>379422.30209999997</v>
      </c>
      <c r="M56" s="157">
        <f t="shared" si="9"/>
        <v>127852.78000000001</v>
      </c>
      <c r="N56" s="157">
        <f t="shared" si="9"/>
        <v>100993.41999999998</v>
      </c>
      <c r="O56" s="157">
        <f t="shared" si="9"/>
        <v>38943.015500000009</v>
      </c>
      <c r="P56" s="157">
        <f t="shared" si="9"/>
        <v>58849.250000000015</v>
      </c>
      <c r="Q56" s="157">
        <f t="shared" si="9"/>
        <v>42787.846599999997</v>
      </c>
      <c r="R56" s="157"/>
      <c r="S56" s="157"/>
      <c r="T56" s="157"/>
      <c r="U56" s="157"/>
      <c r="V56" s="157"/>
      <c r="W56" s="157"/>
      <c r="X56" s="157"/>
      <c r="Y56" s="157"/>
      <c r="Z56" s="157">
        <f>Z3+Z36</f>
        <v>379422.30209999997</v>
      </c>
      <c r="AB56" s="153">
        <f t="shared" ref="AB56" si="10">SUM(U56:Y56)</f>
        <v>0</v>
      </c>
    </row>
  </sheetData>
  <autoFilter ref="A1:Z56"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</autoFilter>
  <mergeCells count="16">
    <mergeCell ref="L1:L2"/>
    <mergeCell ref="B1:B2"/>
    <mergeCell ref="M1:Z1"/>
    <mergeCell ref="A56:K56"/>
    <mergeCell ref="B36:K36"/>
    <mergeCell ref="A1:A2"/>
    <mergeCell ref="E1:E2"/>
    <mergeCell ref="G1:G2"/>
    <mergeCell ref="I1:I2"/>
    <mergeCell ref="J1:J2"/>
    <mergeCell ref="K1:K2"/>
    <mergeCell ref="F1:F2"/>
    <mergeCell ref="H1:H2"/>
    <mergeCell ref="C1:C2"/>
    <mergeCell ref="D1:D2"/>
    <mergeCell ref="B3:K3"/>
  </mergeCells>
  <dataValidations count="4">
    <dataValidation type="list" allowBlank="1" showInputMessage="1" showErrorMessage="1" sqref="C2:D2 B4:B35 B37:B55">
      <formula1>РСО</formula1>
    </dataValidation>
    <dataValidation type="list" allowBlank="1" showInputMessage="1" showErrorMessage="1" sqref="K4:K35 K37:K55">
      <formula1>Фин</formula1>
    </dataValidation>
    <dataValidation type="list" allowBlank="1" showInputMessage="1" showErrorMessage="1" sqref="D4:D35 D37:D55">
      <formula1>Сроки</formula1>
    </dataValidation>
    <dataValidation type="list" allowBlank="1" showInputMessage="1" showErrorMessage="1" sqref="C4:C35 C37:C55">
      <formula1>Группа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topLeftCell="B1" zoomScale="55" zoomScaleNormal="55" workbookViewId="0">
      <pane ySplit="2" topLeftCell="A3" activePane="bottomLeft" state="frozen"/>
      <selection activeCell="I11" sqref="I11"/>
      <selection pane="bottomLeft" activeCell="U1" sqref="U1:U1048576"/>
    </sheetView>
  </sheetViews>
  <sheetFormatPr defaultColWidth="9.1640625" defaultRowHeight="12.75" x14ac:dyDescent="0.2"/>
  <cols>
    <col min="1" max="1" width="10.5" style="7" hidden="1" customWidth="1"/>
    <col min="2" max="2" width="9.1640625" style="7"/>
    <col min="3" max="3" width="20.33203125" style="7" customWidth="1"/>
    <col min="4" max="4" width="34.5" style="7" customWidth="1"/>
    <col min="5" max="5" width="16.6640625" style="7" hidden="1" customWidth="1"/>
    <col min="6" max="18" width="16.6640625" style="7" customWidth="1"/>
    <col min="19" max="19" width="15.1640625" style="7" customWidth="1"/>
    <col min="20" max="20" width="16.33203125" style="7" hidden="1" customWidth="1"/>
    <col min="21" max="21" width="12.83203125" style="7" hidden="1" customWidth="1"/>
    <col min="22" max="22" width="11.1640625" style="7" customWidth="1"/>
    <col min="23" max="23" width="9.1640625" style="7"/>
    <col min="24" max="24" width="18.5" style="7" bestFit="1" customWidth="1"/>
    <col min="25" max="16384" width="9.1640625" style="7"/>
  </cols>
  <sheetData>
    <row r="1" spans="2:21" ht="12.75" customHeight="1" x14ac:dyDescent="0.2">
      <c r="B1" s="451" t="s">
        <v>36</v>
      </c>
      <c r="C1" s="451" t="s">
        <v>190</v>
      </c>
      <c r="D1" s="451" t="s">
        <v>114</v>
      </c>
      <c r="E1" s="429" t="s">
        <v>191</v>
      </c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1"/>
    </row>
    <row r="2" spans="2:21" ht="13.15" customHeight="1" x14ac:dyDescent="0.2">
      <c r="B2" s="452"/>
      <c r="C2" s="452"/>
      <c r="D2" s="452"/>
      <c r="E2" s="5">
        <v>2022</v>
      </c>
      <c r="F2" s="5">
        <v>2023</v>
      </c>
      <c r="G2" s="5">
        <v>2024</v>
      </c>
      <c r="H2" s="5">
        <v>2025</v>
      </c>
      <c r="I2" s="5">
        <v>2026</v>
      </c>
      <c r="J2" s="5">
        <v>2027</v>
      </c>
      <c r="K2" s="5">
        <v>2028</v>
      </c>
      <c r="L2" s="5">
        <v>2029</v>
      </c>
      <c r="M2" s="5">
        <v>2030</v>
      </c>
      <c r="N2" s="5">
        <v>2031</v>
      </c>
      <c r="O2" s="5">
        <v>2032</v>
      </c>
      <c r="P2" s="5">
        <v>2033</v>
      </c>
      <c r="Q2" s="5">
        <v>2034</v>
      </c>
      <c r="R2" s="5">
        <v>2035</v>
      </c>
      <c r="S2" s="269" t="s">
        <v>192</v>
      </c>
    </row>
    <row r="3" spans="2:21" ht="12.75" customHeight="1" x14ac:dyDescent="0.2">
      <c r="B3" s="253">
        <v>1</v>
      </c>
      <c r="C3" s="429" t="s">
        <v>193</v>
      </c>
      <c r="D3" s="431"/>
      <c r="E3" s="52" t="e">
        <f>SUM(E4,#REF!,#REF!)</f>
        <v>#REF!</v>
      </c>
      <c r="F3" s="52">
        <f>SUM(F4,)</f>
        <v>27477.4</v>
      </c>
      <c r="G3" s="52">
        <f t="shared" ref="G3:S3" si="0">SUM(G4,)</f>
        <v>126792.01471157232</v>
      </c>
      <c r="H3" s="52">
        <f t="shared" si="0"/>
        <v>1157566.7082873862</v>
      </c>
      <c r="I3" s="52">
        <f t="shared" si="0"/>
        <v>1103202.5203942945</v>
      </c>
      <c r="J3" s="52">
        <f t="shared" si="0"/>
        <v>770695.05314069986</v>
      </c>
      <c r="K3" s="52">
        <f t="shared" si="0"/>
        <v>446120</v>
      </c>
      <c r="L3" s="52">
        <f t="shared" si="0"/>
        <v>449980.30346604728</v>
      </c>
      <c r="M3" s="52">
        <f t="shared" si="0"/>
        <v>0</v>
      </c>
      <c r="N3" s="52">
        <f t="shared" si="0"/>
        <v>0</v>
      </c>
      <c r="O3" s="52">
        <f t="shared" si="0"/>
        <v>0</v>
      </c>
      <c r="P3" s="52">
        <f t="shared" si="0"/>
        <v>0</v>
      </c>
      <c r="Q3" s="52">
        <f t="shared" si="0"/>
        <v>0</v>
      </c>
      <c r="R3" s="52">
        <f t="shared" si="0"/>
        <v>0</v>
      </c>
      <c r="S3" s="52">
        <f t="shared" si="0"/>
        <v>4081834</v>
      </c>
      <c r="T3" s="93">
        <f>'Перечень инв.проектов ТС'!AG49</f>
        <v>4081833.9999999995</v>
      </c>
      <c r="U3" s="58" t="s">
        <v>194</v>
      </c>
    </row>
    <row r="4" spans="2:21" ht="25.5" customHeight="1" x14ac:dyDescent="0.2">
      <c r="B4" s="468" t="s">
        <v>115</v>
      </c>
      <c r="C4" s="456" t="s">
        <v>595</v>
      </c>
      <c r="D4" s="15" t="s">
        <v>195</v>
      </c>
      <c r="E4" s="52">
        <f>SUM(E5:E8)</f>
        <v>0</v>
      </c>
      <c r="F4" s="52">
        <f>SUM(F5:F8)</f>
        <v>27477.4</v>
      </c>
      <c r="G4" s="52">
        <f>SUM(G5:G8)</f>
        <v>126792.01471157232</v>
      </c>
      <c r="H4" s="52">
        <f>SUM(H5:H8)</f>
        <v>1157566.7082873862</v>
      </c>
      <c r="I4" s="52">
        <f>SUM(I5:I8)</f>
        <v>1103202.5203942945</v>
      </c>
      <c r="J4" s="52">
        <f t="shared" ref="J4:R4" si="1">SUM(J5:J8)</f>
        <v>770695.05314069986</v>
      </c>
      <c r="K4" s="52">
        <f t="shared" si="1"/>
        <v>446120</v>
      </c>
      <c r="L4" s="52">
        <f t="shared" si="1"/>
        <v>449980.30346604728</v>
      </c>
      <c r="M4" s="52">
        <f t="shared" si="1"/>
        <v>0</v>
      </c>
      <c r="N4" s="52">
        <f t="shared" si="1"/>
        <v>0</v>
      </c>
      <c r="O4" s="52">
        <f t="shared" si="1"/>
        <v>0</v>
      </c>
      <c r="P4" s="52">
        <f t="shared" si="1"/>
        <v>0</v>
      </c>
      <c r="Q4" s="52">
        <f t="shared" si="1"/>
        <v>0</v>
      </c>
      <c r="R4" s="52">
        <f t="shared" si="1"/>
        <v>0</v>
      </c>
      <c r="S4" s="52">
        <f>SUM(E4:R4)</f>
        <v>4081834</v>
      </c>
      <c r="U4" s="58" t="s">
        <v>194</v>
      </c>
    </row>
    <row r="5" spans="2:21" ht="13.15" customHeight="1" x14ac:dyDescent="0.2">
      <c r="B5" s="469"/>
      <c r="C5" s="457"/>
      <c r="D5" s="65" t="s">
        <v>163</v>
      </c>
      <c r="E5" s="62">
        <f>SUMIFS('Перечень инв.проектов ТС'!N$3:N$48,'Перечень инв.проектов ТС'!$L$3:$L$48,$D5,'Перечень инв.проектов ТС'!$B$3:$B$48,$C$4)</f>
        <v>0</v>
      </c>
      <c r="F5" s="62">
        <f>SUMIFS('Перечень инв.проектов ТС'!O$3:O$48,'Перечень инв.проектов ТС'!$L$3:$L$48,$D5,'Перечень инв.проектов ТС'!$B$3:$B$48,$C$4)</f>
        <v>27477.4</v>
      </c>
      <c r="G5" s="62">
        <f>SUMIFS('Перечень инв.проектов ТС'!P$3:P$48,'Перечень инв.проектов ТС'!$L$3:$L$48,$D5,'Перечень инв.проектов ТС'!$B$3:$B$48,$C$4)</f>
        <v>123960</v>
      </c>
      <c r="H5" s="62">
        <f>SUMIFS('Перечень инв.проектов ТС'!Q$3:Q$48,'Перечень инв.проектов ТС'!$L$3:$L$48,$D5,'Перечень инв.проектов ТС'!$B$3:$B$48,$C$4)</f>
        <v>1157566.7082873862</v>
      </c>
      <c r="I5" s="62">
        <f>SUMIFS('Перечень инв.проектов ТС'!R$3:R$48,'Перечень инв.проектов ТС'!$L$3:$L$48,$D5,'Перечень инв.проектов ТС'!$B$3:$B$48,$C$4)</f>
        <v>1103202.5203942945</v>
      </c>
      <c r="J5" s="62">
        <f>SUMIFS('Перечень инв.проектов ТС'!S$3:S$48,'Перечень инв.проектов ТС'!$L$3:$L$48,$D5,'Перечень инв.проектов ТС'!$B$3:$B$48,$C$4)</f>
        <v>770695.05314069986</v>
      </c>
      <c r="K5" s="62">
        <f>SUMIFS('Перечень инв.проектов ТС'!T$3:T$48,'Перечень инв.проектов ТС'!$L$3:$L$48,$D5,'Перечень инв.проектов ТС'!$B$3:$B$48,$C$4)</f>
        <v>446120</v>
      </c>
      <c r="L5" s="62">
        <f>SUMIFS('Перечень инв.проектов ТС'!U$3:U$48,'Перечень инв.проектов ТС'!$L$3:$L$48,$D5,'Перечень инв.проектов ТС'!$B$3:$B$48,$C$4)</f>
        <v>449980.30346604728</v>
      </c>
      <c r="M5" s="62">
        <f>SUMIFS('Перечень инв.проектов ТС'!V$3:V$48,'Перечень инв.проектов ТС'!$L$3:$L$48,$D5,'Перечень инв.проектов ТС'!$B$3:$B$48,$C$4)</f>
        <v>0</v>
      </c>
      <c r="N5" s="62">
        <f>SUMIFS('Перечень инв.проектов ТС'!W$3:W$48,'Перечень инв.проектов ТС'!$L$3:$L$48,$D5,'Перечень инв.проектов ТС'!$B$3:$B$48,$C$4)</f>
        <v>0</v>
      </c>
      <c r="O5" s="62">
        <f>SUMIFS('Перечень инв.проектов ТС'!X$3:X$48,'Перечень инв.проектов ТС'!$L$3:$L$48,$D5,'Перечень инв.проектов ТС'!$B$3:$B$48,$C$4)</f>
        <v>0</v>
      </c>
      <c r="P5" s="62">
        <f>SUMIFS('Перечень инв.проектов ТС'!Y$3:Y$48,'Перечень инв.проектов ТС'!$L$3:$L$48,$D5,'Перечень инв.проектов ТС'!$B$3:$B$48,$C$4)</f>
        <v>0</v>
      </c>
      <c r="Q5" s="62">
        <f>SUMIFS('Перечень инв.проектов ТС'!Z$3:Z$48,'Перечень инв.проектов ТС'!$L$3:$L$48,$D5,'Перечень инв.проектов ТС'!$B$3:$B$48,$C$4)</f>
        <v>0</v>
      </c>
      <c r="R5" s="62">
        <f>SUMIFS('Перечень инв.проектов ТС'!AA$3:AA$48,'Перечень инв.проектов ТС'!$L$3:$L$48,$D5,'Перечень инв.проектов ТС'!$B$3:$B$48,$C$4)</f>
        <v>0</v>
      </c>
      <c r="S5" s="52">
        <f>SUM(E5:R5)</f>
        <v>4079001.9852884277</v>
      </c>
      <c r="U5" s="58" t="s">
        <v>194</v>
      </c>
    </row>
    <row r="6" spans="2:21" ht="13.15" customHeight="1" x14ac:dyDescent="0.2">
      <c r="B6" s="469"/>
      <c r="C6" s="457"/>
      <c r="D6" s="66" t="s">
        <v>166</v>
      </c>
      <c r="E6" s="62">
        <f>SUMIFS('Перечень инв.проектов ТС'!N$3:N$48,'Перечень инв.проектов ТС'!$L$3:$L$48,$D6,'Перечень инв.проектов ТС'!$B$3:$B$48,$C$4)</f>
        <v>0</v>
      </c>
      <c r="F6" s="62">
        <f>SUMIFS('Перечень инв.проектов ТС'!O$3:O$48,'Перечень инв.проектов ТС'!$L$3:$L$48,$D6,'Перечень инв.проектов ТС'!$B$3:$B$48,$C$4)</f>
        <v>0</v>
      </c>
      <c r="G6" s="62">
        <f>SUMIFS('Перечень инв.проектов ТС'!P$3:P$48,'Перечень инв.проектов ТС'!$L$3:$L$48,$D6,'Перечень инв.проектов ТС'!$B$3:$B$48,$C$4)</f>
        <v>0</v>
      </c>
      <c r="H6" s="62">
        <f>SUMIFS('Перечень инв.проектов ТС'!Q$3:Q$48,'Перечень инв.проектов ТС'!$L$3:$L$48,$D6,'Перечень инв.проектов ТС'!$B$3:$B$48,$C$4)</f>
        <v>0</v>
      </c>
      <c r="I6" s="62">
        <f>SUMIFS('Перечень инв.проектов ТС'!R$3:R$48,'Перечень инв.проектов ТС'!$L$3:$L$48,$D6,'Перечень инв.проектов ТС'!$B$3:$B$48,$C$4)</f>
        <v>0</v>
      </c>
      <c r="J6" s="62">
        <f>SUMIFS('Перечень инв.проектов ТС'!S$3:S$48,'Перечень инв.проектов ТС'!$L$3:$L$48,$D6,'Перечень инв.проектов ТС'!$B$3:$B$48,$C$4)</f>
        <v>0</v>
      </c>
      <c r="K6" s="62">
        <f>SUMIFS('Перечень инв.проектов ТС'!T$3:T$48,'Перечень инв.проектов ТС'!$L$3:$L$48,$D6,'Перечень инв.проектов ТС'!$B$3:$B$48,$C$4)</f>
        <v>0</v>
      </c>
      <c r="L6" s="62">
        <f>SUMIFS('Перечень инв.проектов ТС'!U$3:U$48,'Перечень инв.проектов ТС'!$L$3:$L$48,$D6,'Перечень инв.проектов ТС'!$B$3:$B$48,$C$4)</f>
        <v>0</v>
      </c>
      <c r="M6" s="62">
        <f>SUMIFS('Перечень инв.проектов ТС'!V$3:V$48,'Перечень инв.проектов ТС'!$L$3:$L$48,$D6,'Перечень инв.проектов ТС'!$B$3:$B$48,$C$4)</f>
        <v>0</v>
      </c>
      <c r="N6" s="62">
        <f>SUMIFS('Перечень инв.проектов ТС'!W$3:W$48,'Перечень инв.проектов ТС'!$L$3:$L$48,$D6,'Перечень инв.проектов ТС'!$B$3:$B$48,$C$4)</f>
        <v>0</v>
      </c>
      <c r="O6" s="62">
        <f>SUMIFS('Перечень инв.проектов ТС'!X$3:X$48,'Перечень инв.проектов ТС'!$L$3:$L$48,$D6,'Перечень инв.проектов ТС'!$B$3:$B$48,$C$4)</f>
        <v>0</v>
      </c>
      <c r="P6" s="62">
        <f>SUMIFS('Перечень инв.проектов ТС'!Y$3:Y$48,'Перечень инв.проектов ТС'!$L$3:$L$48,$D6,'Перечень инв.проектов ТС'!$B$3:$B$48,$C$4)</f>
        <v>0</v>
      </c>
      <c r="Q6" s="62">
        <f>SUMIFS('Перечень инв.проектов ТС'!Z$3:Z$48,'Перечень инв.проектов ТС'!$L$3:$L$48,$D6,'Перечень инв.проектов ТС'!$B$3:$B$48,$C$4)</f>
        <v>0</v>
      </c>
      <c r="R6" s="62">
        <f>SUMIFS('Перечень инв.проектов ТС'!AA$3:AA$48,'Перечень инв.проектов ТС'!$L$3:$L$48,$D6,'Перечень инв.проектов ТС'!$B$3:$B$48,$C$4)</f>
        <v>0</v>
      </c>
      <c r="S6" s="52">
        <f>SUM(E6:R6)</f>
        <v>0</v>
      </c>
      <c r="U6" s="58" t="s">
        <v>194</v>
      </c>
    </row>
    <row r="7" spans="2:21" ht="13.15" customHeight="1" x14ac:dyDescent="0.2">
      <c r="B7" s="469"/>
      <c r="C7" s="457"/>
      <c r="D7" s="66" t="s">
        <v>155</v>
      </c>
      <c r="E7" s="62">
        <f>SUMIFS('Перечень инв.проектов ТС'!N$3:N$48,'Перечень инв.проектов ТС'!$L$3:$L$48,$D7,'Перечень инв.проектов ТС'!$B$3:$B$48,$C$4)</f>
        <v>0</v>
      </c>
      <c r="F7" s="62">
        <f>SUMIFS('Перечень инв.проектов ТС'!O$3:O$48,'Перечень инв.проектов ТС'!$L$3:$L$48,$D7,'Перечень инв.проектов ТС'!$B$3:$B$48,$C$4)</f>
        <v>0</v>
      </c>
      <c r="G7" s="62">
        <f>SUMIFS('Перечень инв.проектов ТС'!P$3:P$48,'Перечень инв.проектов ТС'!$L$3:$L$48,$D7,'Перечень инв.проектов ТС'!$B$3:$B$48,$C$4)</f>
        <v>0</v>
      </c>
      <c r="H7" s="62">
        <f>SUMIFS('Перечень инв.проектов ТС'!Q$3:Q$48,'Перечень инв.проектов ТС'!$L$3:$L$48,$D7,'Перечень инв.проектов ТС'!$B$3:$B$48,$C$4)</f>
        <v>0</v>
      </c>
      <c r="I7" s="62">
        <f>SUMIFS('Перечень инв.проектов ТС'!R$3:R$48,'Перечень инв.проектов ТС'!$L$3:$L$48,$D7,'Перечень инв.проектов ТС'!$B$3:$B$48,$C$4)</f>
        <v>0</v>
      </c>
      <c r="J7" s="62">
        <f>SUMIFS('Перечень инв.проектов ТС'!S$3:S$48,'Перечень инв.проектов ТС'!$L$3:$L$48,$D7,'Перечень инв.проектов ТС'!$B$3:$B$48,$C$4)</f>
        <v>0</v>
      </c>
      <c r="K7" s="62">
        <f>SUMIFS('Перечень инв.проектов ТС'!T$3:T$48,'Перечень инв.проектов ТС'!$L$3:$L$48,$D7,'Перечень инв.проектов ТС'!$B$3:$B$48,$C$4)</f>
        <v>0</v>
      </c>
      <c r="L7" s="62">
        <f>SUMIFS('Перечень инв.проектов ТС'!U$3:U$48,'Перечень инв.проектов ТС'!$L$3:$L$48,$D7,'Перечень инв.проектов ТС'!$B$3:$B$48,$C$4)</f>
        <v>0</v>
      </c>
      <c r="M7" s="62">
        <f>SUMIFS('Перечень инв.проектов ТС'!V$3:V$48,'Перечень инв.проектов ТС'!$L$3:$L$48,$D7,'Перечень инв.проектов ТС'!$B$3:$B$48,$C$4)</f>
        <v>0</v>
      </c>
      <c r="N7" s="62">
        <f>SUMIFS('Перечень инв.проектов ТС'!W$3:W$48,'Перечень инв.проектов ТС'!$L$3:$L$48,$D7,'Перечень инв.проектов ТС'!$B$3:$B$48,$C$4)</f>
        <v>0</v>
      </c>
      <c r="O7" s="62">
        <f>SUMIFS('Перечень инв.проектов ТС'!X$3:X$48,'Перечень инв.проектов ТС'!$L$3:$L$48,$D7,'Перечень инв.проектов ТС'!$B$3:$B$48,$C$4)</f>
        <v>0</v>
      </c>
      <c r="P7" s="62">
        <f>SUMIFS('Перечень инв.проектов ТС'!Y$3:Y$48,'Перечень инв.проектов ТС'!$L$3:$L$48,$D7,'Перечень инв.проектов ТС'!$B$3:$B$48,$C$4)</f>
        <v>0</v>
      </c>
      <c r="Q7" s="62">
        <f>SUMIFS('Перечень инв.проектов ТС'!Z$3:Z$48,'Перечень инв.проектов ТС'!$L$3:$L$48,$D7,'Перечень инв.проектов ТС'!$B$3:$B$48,$C$4)</f>
        <v>0</v>
      </c>
      <c r="R7" s="62">
        <f>SUMIFS('Перечень инв.проектов ТС'!AA$3:AA$48,'Перечень инв.проектов ТС'!$L$3:$L$48,$D7,'Перечень инв.проектов ТС'!$B$3:$B$48,$C$4)</f>
        <v>0</v>
      </c>
      <c r="S7" s="52">
        <f>SUM(E7:R7)</f>
        <v>0</v>
      </c>
      <c r="U7" s="58" t="s">
        <v>194</v>
      </c>
    </row>
    <row r="8" spans="2:21" ht="13.15" customHeight="1" x14ac:dyDescent="0.2">
      <c r="B8" s="469"/>
      <c r="C8" s="457"/>
      <c r="D8" s="66" t="s">
        <v>310</v>
      </c>
      <c r="E8" s="62">
        <f>SUMIFS('Перечень инв.проектов ТС'!N$3:N$48,'Перечень инв.проектов ТС'!$L$3:$L$48,$D8,'Перечень инв.проектов ТС'!$B$3:$B$48,$C$4)</f>
        <v>0</v>
      </c>
      <c r="F8" s="62">
        <f>SUMIFS('Перечень инв.проектов ТС'!O$3:O$48,'Перечень инв.проектов ТС'!$L$3:$L$48,$D8,'Перечень инв.проектов ТС'!$B$3:$B$48,$C$4)</f>
        <v>0</v>
      </c>
      <c r="G8" s="62">
        <f>SUMIFS('Перечень инв.проектов ТС'!P$3:P$48,'Перечень инв.проектов ТС'!$L$3:$L$48,$D8,'Перечень инв.проектов ТС'!$B$3:$B$48,$C$4)</f>
        <v>2832.0147115723285</v>
      </c>
      <c r="H8" s="62">
        <f>SUMIFS('Перечень инв.проектов ТС'!Q$3:Q$48,'Перечень инв.проектов ТС'!$L$3:$L$48,$D8,'Перечень инв.проектов ТС'!$B$3:$B$48,$C$4)</f>
        <v>0</v>
      </c>
      <c r="I8" s="62">
        <f>SUMIFS('Перечень инв.проектов ТС'!R$3:R$48,'Перечень инв.проектов ТС'!$L$3:$L$48,$D8,'Перечень инв.проектов ТС'!$B$3:$B$48,$C$4)</f>
        <v>0</v>
      </c>
      <c r="J8" s="62">
        <f>SUMIFS('Перечень инв.проектов ТС'!S$3:S$48,'Перечень инв.проектов ТС'!$L$3:$L$48,$D8,'Перечень инв.проектов ТС'!$B$3:$B$48,$C$4)</f>
        <v>0</v>
      </c>
      <c r="K8" s="62">
        <f>SUMIFS('Перечень инв.проектов ТС'!T$3:T$48,'Перечень инв.проектов ТС'!$L$3:$L$48,$D8,'Перечень инв.проектов ТС'!$B$3:$B$48,$C$4)</f>
        <v>0</v>
      </c>
      <c r="L8" s="62">
        <f>SUMIFS('Перечень инв.проектов ТС'!U$3:U$48,'Перечень инв.проектов ТС'!$L$3:$L$48,$D8,'Перечень инв.проектов ТС'!$B$3:$B$48,$C$4)</f>
        <v>0</v>
      </c>
      <c r="M8" s="62">
        <f>SUMIFS('Перечень инв.проектов ТС'!V$3:V$48,'Перечень инв.проектов ТС'!$L$3:$L$48,$D8,'Перечень инв.проектов ТС'!$B$3:$B$48,$C$4)</f>
        <v>0</v>
      </c>
      <c r="N8" s="62">
        <f>SUMIFS('Перечень инв.проектов ТС'!W$3:W$48,'Перечень инв.проектов ТС'!$L$3:$L$48,$D8,'Перечень инв.проектов ТС'!$B$3:$B$48,$C$4)</f>
        <v>0</v>
      </c>
      <c r="O8" s="62">
        <f>SUMIFS('Перечень инв.проектов ТС'!X$3:X$48,'Перечень инв.проектов ТС'!$L$3:$L$48,$D8,'Перечень инв.проектов ТС'!$B$3:$B$48,$C$4)</f>
        <v>0</v>
      </c>
      <c r="P8" s="62">
        <f>SUMIFS('Перечень инв.проектов ТС'!Y$3:Y$48,'Перечень инв.проектов ТС'!$L$3:$L$48,$D8,'Перечень инв.проектов ТС'!$B$3:$B$48,$C$4)</f>
        <v>0</v>
      </c>
      <c r="Q8" s="62">
        <f>SUMIFS('Перечень инв.проектов ТС'!Z$3:Z$48,'Перечень инв.проектов ТС'!$L$3:$L$48,$D8,'Перечень инв.проектов ТС'!$B$3:$B$48,$C$4)</f>
        <v>0</v>
      </c>
      <c r="R8" s="62">
        <f>SUMIFS('Перечень инв.проектов ТС'!AA$3:AA$48,'Перечень инв.проектов ТС'!$L$3:$L$48,$D8,'Перечень инв.проектов ТС'!$B$3:$B$48,$C$4)</f>
        <v>0</v>
      </c>
      <c r="S8" s="52">
        <f>SUM(E8:R8)</f>
        <v>2832.0147115723285</v>
      </c>
      <c r="U8" s="58" t="s">
        <v>194</v>
      </c>
    </row>
    <row r="9" spans="2:21" ht="25.9" customHeight="1" x14ac:dyDescent="0.2">
      <c r="B9" s="469"/>
      <c r="C9" s="457"/>
      <c r="D9" s="18" t="s">
        <v>196</v>
      </c>
      <c r="E9" s="52">
        <f>E11-E10</f>
        <v>0</v>
      </c>
      <c r="F9" s="52">
        <f t="shared" ref="F9:R9" si="2">F11-F10</f>
        <v>1099.096</v>
      </c>
      <c r="G9" s="52">
        <f t="shared" si="2"/>
        <v>6170.7765884628934</v>
      </c>
      <c r="H9" s="52">
        <f t="shared" si="2"/>
        <v>73713.828919958338</v>
      </c>
      <c r="I9" s="52">
        <f t="shared" si="2"/>
        <v>138978.18373573013</v>
      </c>
      <c r="J9" s="52">
        <f t="shared" si="2"/>
        <v>180895.75076135813</v>
      </c>
      <c r="K9" s="52">
        <f t="shared" si="2"/>
        <v>202354.66276135814</v>
      </c>
      <c r="L9" s="52">
        <f t="shared" si="2"/>
        <v>229178.22490000003</v>
      </c>
      <c r="M9" s="52">
        <f t="shared" si="2"/>
        <v>229178.22490000003</v>
      </c>
      <c r="N9" s="52">
        <f t="shared" si="2"/>
        <v>229178.22490000003</v>
      </c>
      <c r="O9" s="52">
        <f t="shared" si="2"/>
        <v>229178.22490000003</v>
      </c>
      <c r="P9" s="52">
        <f t="shared" si="2"/>
        <v>229178.22490000003</v>
      </c>
      <c r="Q9" s="52">
        <f t="shared" si="2"/>
        <v>229178.22490000003</v>
      </c>
      <c r="R9" s="52">
        <f t="shared" si="2"/>
        <v>229178.22490000003</v>
      </c>
      <c r="S9" s="52"/>
      <c r="U9" s="58" t="s">
        <v>194</v>
      </c>
    </row>
    <row r="10" spans="2:21" ht="39" customHeight="1" x14ac:dyDescent="0.2">
      <c r="B10" s="469"/>
      <c r="C10" s="457"/>
      <c r="D10" s="19" t="s">
        <v>197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52"/>
      <c r="U10" s="58" t="s">
        <v>194</v>
      </c>
    </row>
    <row r="11" spans="2:21" ht="39" customHeight="1" x14ac:dyDescent="0.2">
      <c r="B11" s="470"/>
      <c r="C11" s="458"/>
      <c r="D11" s="19" t="s">
        <v>198</v>
      </c>
      <c r="E11" s="62"/>
      <c r="F11" s="62">
        <f>Амортизация!G50</f>
        <v>1099.096</v>
      </c>
      <c r="G11" s="62">
        <f>Амортизация!H50</f>
        <v>6170.7765884628934</v>
      </c>
      <c r="H11" s="62">
        <f>Амортизация!I50</f>
        <v>73713.828919958338</v>
      </c>
      <c r="I11" s="62">
        <f>Амортизация!J50</f>
        <v>138978.18373573013</v>
      </c>
      <c r="J11" s="62">
        <f>Амортизация!K50</f>
        <v>180895.75076135813</v>
      </c>
      <c r="K11" s="62">
        <f>Амортизация!L50</f>
        <v>202354.66276135814</v>
      </c>
      <c r="L11" s="62">
        <f>Амортизация!M50</f>
        <v>229178.22490000003</v>
      </c>
      <c r="M11" s="62">
        <f>Амортизация!N50</f>
        <v>229178.22490000003</v>
      </c>
      <c r="N11" s="62">
        <f>Амортизация!O50</f>
        <v>229178.22490000003</v>
      </c>
      <c r="O11" s="62">
        <f>Амортизация!P50</f>
        <v>229178.22490000003</v>
      </c>
      <c r="P11" s="62">
        <f>Амортизация!Q50</f>
        <v>229178.22490000003</v>
      </c>
      <c r="Q11" s="62">
        <f>Амортизация!R50</f>
        <v>229178.22490000003</v>
      </c>
      <c r="R11" s="62">
        <f>Амортизация!S50</f>
        <v>229178.22490000003</v>
      </c>
      <c r="S11" s="52"/>
      <c r="U11" s="58" t="s">
        <v>194</v>
      </c>
    </row>
    <row r="12" spans="2:21" ht="12.75" customHeight="1" x14ac:dyDescent="0.2">
      <c r="B12" s="27">
        <v>2</v>
      </c>
      <c r="C12" s="429" t="s">
        <v>199</v>
      </c>
      <c r="D12" s="431"/>
      <c r="E12" s="52" t="e">
        <f>SUM(E13)</f>
        <v>#REF!</v>
      </c>
      <c r="F12" s="52">
        <f>SUM(F13)</f>
        <v>47711</v>
      </c>
      <c r="G12" s="52">
        <f>SUM(G13)</f>
        <v>312059.91615478887</v>
      </c>
      <c r="H12" s="52">
        <f>SUM(H13)</f>
        <v>348624.68468579603</v>
      </c>
      <c r="I12" s="52">
        <f>SUM(I13)</f>
        <v>304659.95329480909</v>
      </c>
      <c r="J12" s="52">
        <f t="shared" ref="J12:R12" si="3">SUM(J13)</f>
        <v>104423.65764849125</v>
      </c>
      <c r="K12" s="52">
        <f t="shared" si="3"/>
        <v>107444.7928483049</v>
      </c>
      <c r="L12" s="52">
        <f t="shared" si="3"/>
        <v>111742.58456223711</v>
      </c>
      <c r="M12" s="52">
        <f t="shared" si="3"/>
        <v>116212.2879447266</v>
      </c>
      <c r="N12" s="52">
        <f t="shared" si="3"/>
        <v>63637.330331459983</v>
      </c>
      <c r="O12" s="52">
        <f t="shared" si="3"/>
        <v>62609.562091815897</v>
      </c>
      <c r="P12" s="52">
        <f t="shared" si="3"/>
        <v>65113.944575488531</v>
      </c>
      <c r="Q12" s="52">
        <f t="shared" si="3"/>
        <v>67718.502358508078</v>
      </c>
      <c r="R12" s="52">
        <f t="shared" si="3"/>
        <v>70427.242452848397</v>
      </c>
      <c r="S12" s="52">
        <f>SUM(F12:R12)</f>
        <v>1782385.4589492748</v>
      </c>
      <c r="T12" s="93">
        <f>'Перечень инв.проектов ВС'!Y31</f>
        <v>1782385.4589492748</v>
      </c>
      <c r="U12" s="58" t="s">
        <v>200</v>
      </c>
    </row>
    <row r="13" spans="2:21" ht="25.9" customHeight="1" x14ac:dyDescent="0.2">
      <c r="B13" s="453" t="s">
        <v>119</v>
      </c>
      <c r="C13" s="456" t="s">
        <v>575</v>
      </c>
      <c r="D13" s="15" t="s">
        <v>195</v>
      </c>
      <c r="E13" s="52" t="e">
        <f>SUM(E14:E17)</f>
        <v>#REF!</v>
      </c>
      <c r="F13" s="52">
        <f>SUM(F14:F17)</f>
        <v>47711</v>
      </c>
      <c r="G13" s="52">
        <f>SUM(G14:G17)</f>
        <v>312059.91615478887</v>
      </c>
      <c r="H13" s="52">
        <f>SUM(H14:H17)</f>
        <v>348624.68468579603</v>
      </c>
      <c r="I13" s="52">
        <f>SUM(I14:I17)</f>
        <v>304659.95329480909</v>
      </c>
      <c r="J13" s="52">
        <f t="shared" ref="J13:R13" si="4">SUM(J14:J17)</f>
        <v>104423.65764849125</v>
      </c>
      <c r="K13" s="52">
        <f t="shared" si="4"/>
        <v>107444.7928483049</v>
      </c>
      <c r="L13" s="52">
        <f t="shared" si="4"/>
        <v>111742.58456223711</v>
      </c>
      <c r="M13" s="52">
        <f t="shared" si="4"/>
        <v>116212.2879447266</v>
      </c>
      <c r="N13" s="52">
        <f t="shared" si="4"/>
        <v>63637.330331459983</v>
      </c>
      <c r="O13" s="52">
        <f t="shared" si="4"/>
        <v>62609.562091815897</v>
      </c>
      <c r="P13" s="52">
        <f t="shared" si="4"/>
        <v>65113.944575488531</v>
      </c>
      <c r="Q13" s="52">
        <f t="shared" si="4"/>
        <v>67718.502358508078</v>
      </c>
      <c r="R13" s="52">
        <f t="shared" si="4"/>
        <v>70427.242452848397</v>
      </c>
      <c r="S13" s="52">
        <f>SUM(F13:R13)</f>
        <v>1782385.4589492748</v>
      </c>
      <c r="U13" s="58" t="s">
        <v>200</v>
      </c>
    </row>
    <row r="14" spans="2:21" ht="13.15" customHeight="1" x14ac:dyDescent="0.2">
      <c r="B14" s="454"/>
      <c r="C14" s="457"/>
      <c r="D14" s="65" t="s">
        <v>163</v>
      </c>
      <c r="E14" s="62" t="e">
        <f>SUMIFS('Перечень инв.проектов ВС'!#REF!,'Перечень инв.проектов ВС'!$I$3:$I$30,$D14)</f>
        <v>#REF!</v>
      </c>
      <c r="F14" s="62">
        <f>SUMIFS('Перечень инв.проектов ВС'!L$3:L$30,'Перечень инв.проектов ВС'!$I$3:$I$30,$D14)</f>
        <v>47711</v>
      </c>
      <c r="G14" s="62">
        <f>SUMIFS('Перечень инв.проектов ВС'!M$3:M$30,'Перечень инв.проектов ВС'!$I$3:$I$30,$D14)</f>
        <v>150000</v>
      </c>
      <c r="H14" s="62">
        <f>SUMIFS('Перечень инв.проектов ВС'!N$3:N$30,'Перечень инв.проектов ВС'!$I$3:$I$30,$D14)</f>
        <v>232000</v>
      </c>
      <c r="I14" s="62">
        <f>SUMIFS('Перечень инв.проектов ВС'!O$3:O$30,'Перечень инв.проектов ВС'!$I$3:$I$30,$D14)</f>
        <v>201068.6123392437</v>
      </c>
      <c r="J14" s="62">
        <f>SUMIFS('Перечень инв.проектов ВС'!P$3:P$30,'Перечень инв.проектов ВС'!$I$3:$I$30,$D14)</f>
        <v>1111.3568328134511</v>
      </c>
      <c r="K14" s="62">
        <f>SUMIFS('Перечень инв.проектов ВС'!Q$3:Q$30,'Перечень инв.проектов ВС'!$I$3:$I$30,$D14)</f>
        <v>0</v>
      </c>
      <c r="L14" s="62">
        <f>SUMIFS('Перечень инв.проектов ВС'!R$3:R$30,'Перечень инв.проектов ВС'!$I$3:$I$30,$D14)</f>
        <v>0</v>
      </c>
      <c r="M14" s="62">
        <f>SUMIFS('Перечень инв.проектов ВС'!S$3:S$30,'Перечень инв.проектов ВС'!$I$3:$I$30,$D14)</f>
        <v>0</v>
      </c>
      <c r="N14" s="62">
        <f>SUMIFS('Перечень инв.проектов ВС'!T$3:T$30,'Перечень инв.проектов ВС'!$I$3:$I$30,$D14)</f>
        <v>0</v>
      </c>
      <c r="O14" s="62">
        <f>SUMIFS('Перечень инв.проектов ВС'!U$3:U$30,'Перечень инв.проектов ВС'!$I$3:$I$30,$D14)</f>
        <v>0</v>
      </c>
      <c r="P14" s="62">
        <f>SUMIFS('Перечень инв.проектов ВС'!V$3:V$30,'Перечень инв.проектов ВС'!$I$3:$I$30,$D14)</f>
        <v>0</v>
      </c>
      <c r="Q14" s="62">
        <f>SUMIFS('Перечень инв.проектов ВС'!W$3:W$30,'Перечень инв.проектов ВС'!$I$3:$I$30,$D14)</f>
        <v>0</v>
      </c>
      <c r="R14" s="62">
        <f>SUMIFS('Перечень инв.проектов ВС'!X$3:X$30,'Перечень инв.проектов ВС'!$I$3:$I$30,$D14)</f>
        <v>0</v>
      </c>
      <c r="S14" s="52">
        <f t="shared" ref="S14:S18" si="5">SUM(F14:R14)</f>
        <v>631890.96917205723</v>
      </c>
      <c r="U14" s="58" t="s">
        <v>200</v>
      </c>
    </row>
    <row r="15" spans="2:21" ht="13.15" customHeight="1" x14ac:dyDescent="0.2">
      <c r="B15" s="454"/>
      <c r="C15" s="457"/>
      <c r="D15" s="66" t="s">
        <v>166</v>
      </c>
      <c r="E15" s="62" t="e">
        <f>SUMIFS('Перечень инв.проектов ВС'!#REF!,'Перечень инв.проектов ВС'!$I$3:$I$30,$D15)</f>
        <v>#REF!</v>
      </c>
      <c r="F15" s="62">
        <f>SUMIFS('Перечень инв.проектов ВС'!L$3:L$30,'Перечень инв.проектов ВС'!$I$3:$I$30,$D15)</f>
        <v>0</v>
      </c>
      <c r="G15" s="62">
        <f>SUMIFS('Перечень инв.проектов ВС'!M$3:M$30,'Перечень инв.проектов ВС'!$I$3:$I$30,$D15)</f>
        <v>0</v>
      </c>
      <c r="H15" s="62">
        <f>SUMIFS('Перечень инв.проектов ВС'!N$3:N$30,'Перечень инв.проектов ВС'!$I$3:$I$30,$D15)</f>
        <v>0</v>
      </c>
      <c r="I15" s="62">
        <f>SUMIFS('Перечень инв.проектов ВС'!O$3:O$30,'Перечень инв.проектов ВС'!$I$3:$I$30,$D15)</f>
        <v>0</v>
      </c>
      <c r="J15" s="62">
        <f>SUMIFS('Перечень инв.проектов ВС'!P$3:P$30,'Перечень инв.проектов ВС'!$I$3:$I$30,$D15)</f>
        <v>0</v>
      </c>
      <c r="K15" s="62">
        <f>SUMIFS('Перечень инв.проектов ВС'!Q$3:Q$30,'Перечень инв.проектов ВС'!$I$3:$I$30,$D15)</f>
        <v>0</v>
      </c>
      <c r="L15" s="62">
        <f>SUMIFS('Перечень инв.проектов ВС'!R$3:R$30,'Перечень инв.проектов ВС'!$I$3:$I$30,$D15)</f>
        <v>0</v>
      </c>
      <c r="M15" s="62">
        <f>SUMIFS('Перечень инв.проектов ВС'!S$3:S$30,'Перечень инв.проектов ВС'!$I$3:$I$30,$D15)</f>
        <v>0</v>
      </c>
      <c r="N15" s="62">
        <f>SUMIFS('Перечень инв.проектов ВС'!T$3:T$30,'Перечень инв.проектов ВС'!$I$3:$I$30,$D15)</f>
        <v>0</v>
      </c>
      <c r="O15" s="62">
        <f>SUMIFS('Перечень инв.проектов ВС'!U$3:U$30,'Перечень инв.проектов ВС'!$I$3:$I$30,$D15)</f>
        <v>0</v>
      </c>
      <c r="P15" s="62">
        <f>SUMIFS('Перечень инв.проектов ВС'!V$3:V$30,'Перечень инв.проектов ВС'!$I$3:$I$30,$D15)</f>
        <v>0</v>
      </c>
      <c r="Q15" s="62">
        <f>SUMIFS('Перечень инв.проектов ВС'!W$3:W$30,'Перечень инв.проектов ВС'!$I$3:$I$30,$D15)</f>
        <v>0</v>
      </c>
      <c r="R15" s="62">
        <f>SUMIFS('Перечень инв.проектов ВС'!X$3:X$30,'Перечень инв.проектов ВС'!$I$3:$I$30,$D15)</f>
        <v>0</v>
      </c>
      <c r="S15" s="52">
        <f t="shared" si="5"/>
        <v>0</v>
      </c>
      <c r="U15" s="58" t="s">
        <v>200</v>
      </c>
    </row>
    <row r="16" spans="2:21" ht="13.15" customHeight="1" x14ac:dyDescent="0.2">
      <c r="B16" s="454"/>
      <c r="C16" s="457"/>
      <c r="D16" s="66" t="s">
        <v>155</v>
      </c>
      <c r="E16" s="62" t="e">
        <f>SUMIFS('Перечень инв.проектов ВС'!#REF!,'Перечень инв.проектов ВС'!$I$3:$I$30,$D16)</f>
        <v>#REF!</v>
      </c>
      <c r="F16" s="62">
        <f>SUMIFS('Перечень инв.проектов ВС'!L$3:L$30,'Перечень инв.проектов ВС'!$I$3:$I$30,$D16)</f>
        <v>0</v>
      </c>
      <c r="G16" s="62">
        <f>SUMIFS('Перечень инв.проектов ВС'!M$3:M$30,'Перечень инв.проектов ВС'!$I$3:$I$30,$D16)</f>
        <v>0</v>
      </c>
      <c r="H16" s="62">
        <f>SUMIFS('Перечень инв.проектов ВС'!N$3:N$30,'Перечень инв.проектов ВС'!$I$3:$I$30,$D16)</f>
        <v>0</v>
      </c>
      <c r="I16" s="62">
        <f>SUMIFS('Перечень инв.проектов ВС'!O$3:O$30,'Перечень инв.проектов ВС'!$I$3:$I$30,$D16)</f>
        <v>0</v>
      </c>
      <c r="J16" s="62">
        <f>SUMIFS('Перечень инв.проектов ВС'!P$3:P$30,'Перечень инв.проектов ВС'!$I$3:$I$30,$D16)</f>
        <v>0</v>
      </c>
      <c r="K16" s="62">
        <f>SUMIFS('Перечень инв.проектов ВС'!Q$3:Q$30,'Перечень инв.проектов ВС'!$I$3:$I$30,$D16)</f>
        <v>0</v>
      </c>
      <c r="L16" s="62">
        <f>SUMIFS('Перечень инв.проектов ВС'!R$3:R$30,'Перечень инв.проектов ВС'!$I$3:$I$30,$D16)</f>
        <v>0</v>
      </c>
      <c r="M16" s="62">
        <f>SUMIFS('Перечень инв.проектов ВС'!S$3:S$30,'Перечень инв.проектов ВС'!$I$3:$I$30,$D16)</f>
        <v>0</v>
      </c>
      <c r="N16" s="62">
        <f>SUMIFS('Перечень инв.проектов ВС'!T$3:T$30,'Перечень инв.проектов ВС'!$I$3:$I$30,$D16)</f>
        <v>0</v>
      </c>
      <c r="O16" s="62">
        <f>SUMIFS('Перечень инв.проектов ВС'!U$3:U$30,'Перечень инв.проектов ВС'!$I$3:$I$30,$D16)</f>
        <v>0</v>
      </c>
      <c r="P16" s="62">
        <f>SUMIFS('Перечень инв.проектов ВС'!V$3:V$30,'Перечень инв.проектов ВС'!$I$3:$I$30,$D16)</f>
        <v>0</v>
      </c>
      <c r="Q16" s="62">
        <f>SUMIFS('Перечень инв.проектов ВС'!W$3:W$30,'Перечень инв.проектов ВС'!$I$3:$I$30,$D16)</f>
        <v>0</v>
      </c>
      <c r="R16" s="62">
        <f>SUMIFS('Перечень инв.проектов ВС'!X$3:X$30,'Перечень инв.проектов ВС'!$I$3:$I$30,$D16)</f>
        <v>0</v>
      </c>
      <c r="S16" s="52">
        <f t="shared" si="5"/>
        <v>0</v>
      </c>
      <c r="U16" s="58" t="s">
        <v>200</v>
      </c>
    </row>
    <row r="17" spans="2:21" ht="13.15" customHeight="1" x14ac:dyDescent="0.2">
      <c r="B17" s="454"/>
      <c r="C17" s="457"/>
      <c r="D17" s="66" t="s">
        <v>310</v>
      </c>
      <c r="E17" s="62" t="e">
        <f>SUMIFS('Перечень инв.проектов ВС'!#REF!,'Перечень инв.проектов ВС'!$I$3:$I$30,$D17)</f>
        <v>#REF!</v>
      </c>
      <c r="F17" s="62">
        <f>SUMIFS('Перечень инв.проектов ВС'!L$3:L$30,'Перечень инв.проектов ВС'!$I$3:$I$30,$D17)</f>
        <v>0</v>
      </c>
      <c r="G17" s="62">
        <f>SUMIFS('Перечень инв.проектов ВС'!M$3:M$30,'Перечень инв.проектов ВС'!$I$3:$I$30,$D17)</f>
        <v>162059.91615478887</v>
      </c>
      <c r="H17" s="62">
        <f>SUMIFS('Перечень инв.проектов ВС'!N$3:N$30,'Перечень инв.проектов ВС'!$I$3:$I$30,$D17)</f>
        <v>116624.68468579603</v>
      </c>
      <c r="I17" s="62">
        <f>SUMIFS('Перечень инв.проектов ВС'!O$3:O$30,'Перечень инв.проектов ВС'!$I$3:$I$30,$D17)</f>
        <v>103591.34095556536</v>
      </c>
      <c r="J17" s="62">
        <f>SUMIFS('Перечень инв.проектов ВС'!P$3:P$30,'Перечень инв.проектов ВС'!$I$3:$I$30,$D17)</f>
        <v>103312.30081567779</v>
      </c>
      <c r="K17" s="62">
        <f>SUMIFS('Перечень инв.проектов ВС'!Q$3:Q$30,'Перечень инв.проектов ВС'!$I$3:$I$30,$D17)</f>
        <v>107444.7928483049</v>
      </c>
      <c r="L17" s="62">
        <f>SUMIFS('Перечень инв.проектов ВС'!R$3:R$30,'Перечень инв.проектов ВС'!$I$3:$I$30,$D17)</f>
        <v>111742.58456223711</v>
      </c>
      <c r="M17" s="62">
        <f>SUMIFS('Перечень инв.проектов ВС'!S$3:S$30,'Перечень инв.проектов ВС'!$I$3:$I$30,$D17)</f>
        <v>116212.2879447266</v>
      </c>
      <c r="N17" s="62">
        <f>SUMIFS('Перечень инв.проектов ВС'!T$3:T$30,'Перечень инв.проектов ВС'!$I$3:$I$30,$D17)</f>
        <v>63637.330331459983</v>
      </c>
      <c r="O17" s="62">
        <f>SUMIFS('Перечень инв.проектов ВС'!U$3:U$30,'Перечень инв.проектов ВС'!$I$3:$I$30,$D17)</f>
        <v>62609.562091815897</v>
      </c>
      <c r="P17" s="62">
        <f>SUMIFS('Перечень инв.проектов ВС'!V$3:V$30,'Перечень инв.проектов ВС'!$I$3:$I$30,$D17)</f>
        <v>65113.944575488531</v>
      </c>
      <c r="Q17" s="62">
        <f>SUMIFS('Перечень инв.проектов ВС'!W$3:W$30,'Перечень инв.проектов ВС'!$I$3:$I$30,$D17)</f>
        <v>67718.502358508078</v>
      </c>
      <c r="R17" s="62">
        <f>SUMIFS('Перечень инв.проектов ВС'!X$3:X$30,'Перечень инв.проектов ВС'!$I$3:$I$30,$D17)</f>
        <v>70427.242452848397</v>
      </c>
      <c r="S17" s="52">
        <f t="shared" si="5"/>
        <v>1150494.4897772179</v>
      </c>
      <c r="U17" s="58" t="s">
        <v>200</v>
      </c>
    </row>
    <row r="18" spans="2:21" ht="25.9" customHeight="1" x14ac:dyDescent="0.2">
      <c r="B18" s="454"/>
      <c r="C18" s="457"/>
      <c r="D18" s="18" t="s">
        <v>196</v>
      </c>
      <c r="E18" s="52">
        <f>E20-E19</f>
        <v>0</v>
      </c>
      <c r="F18" s="52">
        <f>F20-F19</f>
        <v>1588.7763</v>
      </c>
      <c r="G18" s="52">
        <f>G20-G19</f>
        <v>19416.939579377671</v>
      </c>
      <c r="H18" s="52">
        <f>H20-H19</f>
        <v>31821.797719248701</v>
      </c>
      <c r="I18" s="52">
        <f>I20-I19</f>
        <v>48881.169548800826</v>
      </c>
      <c r="J18" s="52">
        <f t="shared" ref="J18:R18" si="6">J20-J19</f>
        <v>52493.691145664037</v>
      </c>
      <c r="K18" s="52">
        <f t="shared" si="6"/>
        <v>56173.621005623165</v>
      </c>
      <c r="L18" s="52">
        <f t="shared" si="6"/>
        <v>60000.748059980659</v>
      </c>
      <c r="M18" s="52">
        <f t="shared" si="6"/>
        <v>63980.960196512446</v>
      </c>
      <c r="N18" s="52">
        <f t="shared" si="6"/>
        <v>66214.839962441358</v>
      </c>
      <c r="O18" s="52">
        <f t="shared" si="6"/>
        <v>68299.738380098817</v>
      </c>
      <c r="P18" s="52">
        <f t="shared" si="6"/>
        <v>70468.032734462584</v>
      </c>
      <c r="Q18" s="52">
        <f t="shared" si="6"/>
        <v>72723.058863000901</v>
      </c>
      <c r="R18" s="52">
        <f t="shared" si="6"/>
        <v>75068.286036680758</v>
      </c>
      <c r="S18" s="52">
        <f t="shared" si="5"/>
        <v>687131.65953189204</v>
      </c>
      <c r="U18" s="58" t="s">
        <v>200</v>
      </c>
    </row>
    <row r="19" spans="2:21" ht="39" customHeight="1" x14ac:dyDescent="0.2">
      <c r="B19" s="454"/>
      <c r="C19" s="457"/>
      <c r="D19" s="19" t="s">
        <v>197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U19" s="58" t="s">
        <v>200</v>
      </c>
    </row>
    <row r="20" spans="2:21" ht="39" customHeight="1" x14ac:dyDescent="0.2">
      <c r="B20" s="455"/>
      <c r="C20" s="458"/>
      <c r="D20" s="19" t="s">
        <v>198</v>
      </c>
      <c r="E20" s="62"/>
      <c r="F20" s="62">
        <f>Амортизация!G87</f>
        <v>1588.7763</v>
      </c>
      <c r="G20" s="62">
        <f>Амортизация!H87</f>
        <v>19416.939579377671</v>
      </c>
      <c r="H20" s="62">
        <f>Амортизация!I87</f>
        <v>31821.797719248701</v>
      </c>
      <c r="I20" s="62">
        <f>Амортизация!J87</f>
        <v>48881.169548800826</v>
      </c>
      <c r="J20" s="62">
        <f>Амортизация!K87</f>
        <v>52493.691145664037</v>
      </c>
      <c r="K20" s="62">
        <f>Амортизация!L87</f>
        <v>56173.621005623165</v>
      </c>
      <c r="L20" s="62">
        <f>Амортизация!M87</f>
        <v>60000.748059980659</v>
      </c>
      <c r="M20" s="62">
        <f>Амортизация!N87</f>
        <v>63980.960196512446</v>
      </c>
      <c r="N20" s="62">
        <f>Амортизация!O87</f>
        <v>66214.839962441358</v>
      </c>
      <c r="O20" s="62">
        <f>Амортизация!P87</f>
        <v>68299.738380098817</v>
      </c>
      <c r="P20" s="62">
        <f>Амортизация!Q87</f>
        <v>70468.032734462584</v>
      </c>
      <c r="Q20" s="62">
        <f>Амортизация!R87</f>
        <v>72723.058863000901</v>
      </c>
      <c r="R20" s="62">
        <f>Амортизация!S87</f>
        <v>75068.286036680758</v>
      </c>
      <c r="S20" s="52">
        <f t="shared" ref="S20:S27" si="7">SUM(E20:R20)</f>
        <v>687131.65953189204</v>
      </c>
      <c r="U20" s="58" t="s">
        <v>200</v>
      </c>
    </row>
    <row r="21" spans="2:21" ht="12.75" customHeight="1" x14ac:dyDescent="0.2">
      <c r="B21" s="27">
        <v>3</v>
      </c>
      <c r="C21" s="429" t="s">
        <v>201</v>
      </c>
      <c r="D21" s="431"/>
      <c r="E21" s="52" t="e">
        <f>E22</f>
        <v>#REF!</v>
      </c>
      <c r="F21" s="52">
        <f t="shared" ref="F21:R21" si="8">F22</f>
        <v>50000</v>
      </c>
      <c r="G21" s="52">
        <f t="shared" si="8"/>
        <v>241484.43601065717</v>
      </c>
      <c r="H21" s="52">
        <f t="shared" si="8"/>
        <v>819973.14006745815</v>
      </c>
      <c r="I21" s="52">
        <f t="shared" si="8"/>
        <v>152292.65567015641</v>
      </c>
      <c r="J21" s="52">
        <f t="shared" si="8"/>
        <v>96935.222696962664</v>
      </c>
      <c r="K21" s="52">
        <f t="shared" si="8"/>
        <v>187707.50261808082</v>
      </c>
      <c r="L21" s="52">
        <f t="shared" si="8"/>
        <v>200311.02232280403</v>
      </c>
      <c r="M21" s="52">
        <f t="shared" si="8"/>
        <v>208323.46521571622</v>
      </c>
      <c r="N21" s="52">
        <f t="shared" si="8"/>
        <v>219683.65462434484</v>
      </c>
      <c r="O21" s="52">
        <f t="shared" si="8"/>
        <v>228471.00720931863</v>
      </c>
      <c r="P21" s="52">
        <f t="shared" si="8"/>
        <v>307856.90444806498</v>
      </c>
      <c r="Q21" s="52">
        <f t="shared" si="8"/>
        <v>311627.05979319819</v>
      </c>
      <c r="R21" s="52">
        <f t="shared" si="8"/>
        <v>248112.91031028208</v>
      </c>
      <c r="S21" s="52">
        <f>SUM(F21:R21)</f>
        <v>3272778.9809870441</v>
      </c>
      <c r="T21" s="93">
        <f>'Перечень инв.проектов ВО'!Y35</f>
        <v>3272778.9809870441</v>
      </c>
      <c r="U21" s="58" t="s">
        <v>202</v>
      </c>
    </row>
    <row r="22" spans="2:21" ht="25.9" customHeight="1" x14ac:dyDescent="0.2">
      <c r="B22" s="453" t="s">
        <v>129</v>
      </c>
      <c r="C22" s="456" t="s">
        <v>564</v>
      </c>
      <c r="D22" s="15" t="s">
        <v>195</v>
      </c>
      <c r="E22" s="52" t="e">
        <f>SUM(E23:E26)</f>
        <v>#REF!</v>
      </c>
      <c r="F22" s="52">
        <f>SUM(F23:F26)</f>
        <v>50000</v>
      </c>
      <c r="G22" s="52">
        <f>SUM(G23:G26)</f>
        <v>241484.43601065717</v>
      </c>
      <c r="H22" s="52">
        <f>SUM(H23:H26)</f>
        <v>819973.14006745815</v>
      </c>
      <c r="I22" s="52">
        <f>SUM(I23:I26)</f>
        <v>152292.65567015641</v>
      </c>
      <c r="J22" s="52">
        <f t="shared" ref="J22:R22" si="9">SUM(J23:J26)</f>
        <v>96935.222696962664</v>
      </c>
      <c r="K22" s="52">
        <f t="shared" si="9"/>
        <v>187707.50261808082</v>
      </c>
      <c r="L22" s="52">
        <f t="shared" si="9"/>
        <v>200311.02232280403</v>
      </c>
      <c r="M22" s="52">
        <f t="shared" si="9"/>
        <v>208323.46521571622</v>
      </c>
      <c r="N22" s="52">
        <f t="shared" si="9"/>
        <v>219683.65462434484</v>
      </c>
      <c r="O22" s="52">
        <f t="shared" si="9"/>
        <v>228471.00720931863</v>
      </c>
      <c r="P22" s="52">
        <f t="shared" si="9"/>
        <v>307856.90444806498</v>
      </c>
      <c r="Q22" s="52">
        <f t="shared" si="9"/>
        <v>311627.05979319819</v>
      </c>
      <c r="R22" s="52">
        <f t="shared" si="9"/>
        <v>248112.91031028208</v>
      </c>
      <c r="S22" s="52">
        <f t="shared" ref="S22:S26" si="10">SUM(F22:R22)</f>
        <v>3272778.9809870441</v>
      </c>
      <c r="U22" s="58" t="s">
        <v>202</v>
      </c>
    </row>
    <row r="23" spans="2:21" ht="13.15" customHeight="1" x14ac:dyDescent="0.2">
      <c r="B23" s="454"/>
      <c r="C23" s="457"/>
      <c r="D23" s="65" t="s">
        <v>163</v>
      </c>
      <c r="E23" s="62" t="e">
        <f>SUMIFS('Перечень инв.проектов ВО'!#REF!,'Перечень инв.проектов ВО'!$I$3:$I$34,$D23)</f>
        <v>#REF!</v>
      </c>
      <c r="F23" s="62">
        <f>SUMIFS('Перечень инв.проектов ВО'!L$3:L$34,'Перечень инв.проектов ВО'!$I$3:$I$34,$D23)</f>
        <v>50000</v>
      </c>
      <c r="G23" s="62">
        <f>SUMIFS('Перечень инв.проектов ВО'!M$3:M$34,'Перечень инв.проектов ВО'!$I$3:$I$34,$D23)</f>
        <v>173000</v>
      </c>
      <c r="H23" s="62">
        <f>SUMIFS('Перечень инв.проектов ВО'!N$3:N$34,'Перечень инв.проектов ВО'!$I$3:$I$34,$D23)</f>
        <v>738014.3</v>
      </c>
      <c r="I23" s="62">
        <f>SUMIFS('Перечень инв.проектов ВО'!O$3:O$34,'Перечень инв.проектов ВО'!$I$3:$I$34,$D23)</f>
        <v>68867.459999999992</v>
      </c>
      <c r="J23" s="62">
        <f>SUMIFS('Перечень инв.проектов ВО'!P$3:P$34,'Перечень инв.проектов ВО'!$I$3:$I$34,$D23)</f>
        <v>0</v>
      </c>
      <c r="K23" s="62">
        <f>SUMIFS('Перечень инв.проектов ВО'!Q$3:Q$34,'Перечень инв.проектов ВО'!$I$3:$I$34,$D23)</f>
        <v>103950.18501323962</v>
      </c>
      <c r="L23" s="62">
        <f>SUMIFS('Перечень инв.проектов ВО'!R$3:R$34,'Перечень инв.проектов ВО'!$I$3:$I$34,$D23)</f>
        <v>108108.18961376921</v>
      </c>
      <c r="M23" s="62">
        <f>SUMIFS('Перечень инв.проектов ВО'!S$3:S$34,'Перечень инв.проектов ВО'!$I$3:$I$34,$D23)</f>
        <v>112432.52199831998</v>
      </c>
      <c r="N23" s="62">
        <f>SUMIFS('Перечень инв.проектов ВО'!T$3:T$34,'Перечень инв.проектов ВО'!$I$3:$I$34,$D23)</f>
        <v>116929.82007825276</v>
      </c>
      <c r="O23" s="62">
        <f>SUMIFS('Перечень инв.проектов ВО'!U$3:U$34,'Перечень инв.проектов ВО'!$I$3:$I$34,$D23)</f>
        <v>121607.01728138288</v>
      </c>
      <c r="P23" s="62">
        <f>SUMIFS('Перечень инв.проектов ВО'!V$3:V$34,'Перечень инв.проектов ВО'!$I$3:$I$34,$D23)</f>
        <v>196718.36612301177</v>
      </c>
      <c r="Q23" s="62">
        <f>SUMIFS('Перечень инв.проектов ВО'!W$3:W$34,'Перечень инв.проектов ВО'!$I$3:$I$34,$D23)</f>
        <v>204587.09396793225</v>
      </c>
      <c r="R23" s="62">
        <f>SUMIFS('Перечень инв.проектов ВО'!X$3:X$34,'Перечень инв.проектов ВО'!$I$3:$I$34,$D23)</f>
        <v>136791.35345200548</v>
      </c>
      <c r="S23" s="52">
        <f t="shared" si="10"/>
        <v>2131006.3075279142</v>
      </c>
      <c r="U23" s="58" t="s">
        <v>202</v>
      </c>
    </row>
    <row r="24" spans="2:21" ht="13.15" customHeight="1" x14ac:dyDescent="0.2">
      <c r="B24" s="454"/>
      <c r="C24" s="457"/>
      <c r="D24" s="66" t="s">
        <v>166</v>
      </c>
      <c r="E24" s="62" t="e">
        <f>SUMIFS('Перечень инв.проектов ВО'!#REF!,'Перечень инв.проектов ВО'!$I$3:$I$34,$D24)</f>
        <v>#REF!</v>
      </c>
      <c r="F24" s="62">
        <f>SUMIFS('Перечень инв.проектов ВО'!L$3:L$34,'Перечень инв.проектов ВО'!$I$3:$I$34,$D24)</f>
        <v>0</v>
      </c>
      <c r="G24" s="62">
        <f>SUMIFS('Перечень инв.проектов ВО'!M$3:M$34,'Перечень инв.проектов ВО'!$I$3:$I$34,$D24)</f>
        <v>0</v>
      </c>
      <c r="H24" s="62">
        <f>SUMIFS('Перечень инв.проектов ВО'!N$3:N$34,'Перечень инв.проектов ВО'!$I$3:$I$34,$D24)</f>
        <v>0</v>
      </c>
      <c r="I24" s="62">
        <f>SUMIFS('Перечень инв.проектов ВО'!O$3:O$34,'Перечень инв.проектов ВО'!$I$3:$I$34,$D24)</f>
        <v>0</v>
      </c>
      <c r="J24" s="62">
        <f>SUMIFS('Перечень инв.проектов ВО'!P$3:P$34,'Перечень инв.проектов ВО'!$I$3:$I$34,$D24)</f>
        <v>0</v>
      </c>
      <c r="K24" s="62">
        <f>SUMIFS('Перечень инв.проектов ВО'!Q$3:Q$34,'Перечень инв.проектов ВО'!$I$3:$I$34,$D24)</f>
        <v>0</v>
      </c>
      <c r="L24" s="62">
        <f>SUMIFS('Перечень инв.проектов ВО'!R$3:R$34,'Перечень инв.проектов ВО'!$I$3:$I$34,$D24)</f>
        <v>0</v>
      </c>
      <c r="M24" s="62">
        <f>SUMIFS('Перечень инв.проектов ВО'!S$3:S$34,'Перечень инв.проектов ВО'!$I$3:$I$34,$D24)</f>
        <v>0</v>
      </c>
      <c r="N24" s="62">
        <f>SUMIFS('Перечень инв.проектов ВО'!T$3:T$34,'Перечень инв.проектов ВО'!$I$3:$I$34,$D24)</f>
        <v>0</v>
      </c>
      <c r="O24" s="62">
        <f>SUMIFS('Перечень инв.проектов ВО'!U$3:U$34,'Перечень инв.проектов ВО'!$I$3:$I$34,$D24)</f>
        <v>0</v>
      </c>
      <c r="P24" s="62">
        <f>SUMIFS('Перечень инв.проектов ВО'!V$3:V$34,'Перечень инв.проектов ВО'!$I$3:$I$34,$D24)</f>
        <v>0</v>
      </c>
      <c r="Q24" s="62">
        <f>SUMIFS('Перечень инв.проектов ВО'!W$3:W$34,'Перечень инв.проектов ВО'!$I$3:$I$34,$D24)</f>
        <v>0</v>
      </c>
      <c r="R24" s="62">
        <f>SUMIFS('Перечень инв.проектов ВО'!X$3:X$34,'Перечень инв.проектов ВО'!$I$3:$I$34,$D24)</f>
        <v>0</v>
      </c>
      <c r="S24" s="52">
        <f t="shared" si="10"/>
        <v>0</v>
      </c>
      <c r="U24" s="58" t="s">
        <v>202</v>
      </c>
    </row>
    <row r="25" spans="2:21" ht="13.15" customHeight="1" x14ac:dyDescent="0.2">
      <c r="B25" s="454"/>
      <c r="C25" s="457"/>
      <c r="D25" s="66" t="s">
        <v>155</v>
      </c>
      <c r="E25" s="62" t="e">
        <f>SUMIFS('Перечень инв.проектов ВО'!#REF!,'Перечень инв.проектов ВО'!$I$3:$I$34,$D25)</f>
        <v>#REF!</v>
      </c>
      <c r="F25" s="62">
        <f>SUMIFS('Перечень инв.проектов ВО'!L$3:L$34,'Перечень инв.проектов ВО'!$I$3:$I$34,$D25)</f>
        <v>0</v>
      </c>
      <c r="G25" s="62">
        <f>SUMIFS('Перечень инв.проектов ВО'!M$3:M$34,'Перечень инв.проектов ВО'!$I$3:$I$34,$D25)</f>
        <v>0</v>
      </c>
      <c r="H25" s="62">
        <f>SUMIFS('Перечень инв.проектов ВО'!N$3:N$34,'Перечень инв.проектов ВО'!$I$3:$I$34,$D25)</f>
        <v>0</v>
      </c>
      <c r="I25" s="62">
        <f>SUMIFS('Перечень инв.проектов ВО'!O$3:O$34,'Перечень инв.проектов ВО'!$I$3:$I$34,$D25)</f>
        <v>0</v>
      </c>
      <c r="J25" s="62">
        <f>SUMIFS('Перечень инв.проектов ВО'!P$3:P$34,'Перечень инв.проектов ВО'!$I$3:$I$34,$D25)</f>
        <v>0</v>
      </c>
      <c r="K25" s="62">
        <f>SUMIFS('Перечень инв.проектов ВО'!Q$3:Q$34,'Перечень инв.проектов ВО'!$I$3:$I$34,$D25)</f>
        <v>0</v>
      </c>
      <c r="L25" s="62">
        <f>SUMIFS('Перечень инв.проектов ВО'!R$3:R$34,'Перечень инв.проектов ВО'!$I$3:$I$34,$D25)</f>
        <v>0</v>
      </c>
      <c r="M25" s="62">
        <f>SUMIFS('Перечень инв.проектов ВО'!S$3:S$34,'Перечень инв.проектов ВО'!$I$3:$I$34,$D25)</f>
        <v>0</v>
      </c>
      <c r="N25" s="62">
        <f>SUMIFS('Перечень инв.проектов ВО'!T$3:T$34,'Перечень инв.проектов ВО'!$I$3:$I$34,$D25)</f>
        <v>0</v>
      </c>
      <c r="O25" s="62">
        <f>SUMIFS('Перечень инв.проектов ВО'!U$3:U$34,'Перечень инв.проектов ВО'!$I$3:$I$34,$D25)</f>
        <v>0</v>
      </c>
      <c r="P25" s="62">
        <f>SUMIFS('Перечень инв.проектов ВО'!V$3:V$34,'Перечень инв.проектов ВО'!$I$3:$I$34,$D25)</f>
        <v>0</v>
      </c>
      <c r="Q25" s="62">
        <f>SUMIFS('Перечень инв.проектов ВО'!W$3:W$34,'Перечень инв.проектов ВО'!$I$3:$I$34,$D25)</f>
        <v>0</v>
      </c>
      <c r="R25" s="62">
        <f>SUMIFS('Перечень инв.проектов ВО'!X$3:X$34,'Перечень инв.проектов ВО'!$I$3:$I$34,$D25)</f>
        <v>0</v>
      </c>
      <c r="S25" s="52">
        <f t="shared" si="10"/>
        <v>0</v>
      </c>
      <c r="U25" s="58" t="s">
        <v>202</v>
      </c>
    </row>
    <row r="26" spans="2:21" ht="13.15" customHeight="1" x14ac:dyDescent="0.2">
      <c r="B26" s="454"/>
      <c r="C26" s="457"/>
      <c r="D26" s="66" t="s">
        <v>310</v>
      </c>
      <c r="E26" s="62" t="e">
        <f>SUMIFS('Перечень инв.проектов ВО'!#REF!,'Перечень инв.проектов ВО'!$I$3:$I$34,$D26)</f>
        <v>#REF!</v>
      </c>
      <c r="F26" s="62">
        <f>SUMIFS('Перечень инв.проектов ВО'!L$3:L$34,'Перечень инв.проектов ВО'!$I$3:$I$34,$D26)</f>
        <v>0</v>
      </c>
      <c r="G26" s="62">
        <f>SUMIFS('Перечень инв.проектов ВО'!M$3:M$34,'Перечень инв.проектов ВО'!$I$3:$I$34,$D26)</f>
        <v>68484.436010657155</v>
      </c>
      <c r="H26" s="62">
        <f>SUMIFS('Перечень инв.проектов ВО'!N$3:N$34,'Перечень инв.проектов ВО'!$I$3:$I$34,$D26)</f>
        <v>81958.840067458106</v>
      </c>
      <c r="I26" s="62">
        <f>SUMIFS('Перечень инв.проектов ВО'!O$3:O$34,'Перечень инв.проектов ВО'!$I$3:$I$34,$D26)</f>
        <v>83425.195670156434</v>
      </c>
      <c r="J26" s="62">
        <f>SUMIFS('Перечень инв.проектов ВО'!P$3:P$34,'Перечень инв.проектов ВО'!$I$3:$I$34,$D26)</f>
        <v>96935.222696962664</v>
      </c>
      <c r="K26" s="62">
        <f>SUMIFS('Перечень инв.проектов ВО'!Q$3:Q$34,'Перечень инв.проектов ВО'!$I$3:$I$34,$D26)</f>
        <v>83757.317604841184</v>
      </c>
      <c r="L26" s="62">
        <f>SUMIFS('Перечень инв.проектов ВО'!R$3:R$34,'Перечень инв.проектов ВО'!$I$3:$I$34,$D26)</f>
        <v>92202.832709034832</v>
      </c>
      <c r="M26" s="62">
        <f>SUMIFS('Перечень инв.проектов ВО'!S$3:S$34,'Перечень инв.проектов ВО'!$I$3:$I$34,$D26)</f>
        <v>95890.943217396241</v>
      </c>
      <c r="N26" s="62">
        <f>SUMIFS('Перечень инв.проектов ВО'!T$3:T$34,'Перечень инв.проектов ВО'!$I$3:$I$34,$D26)</f>
        <v>102753.83454609208</v>
      </c>
      <c r="O26" s="62">
        <f>SUMIFS('Перечень инв.проектов ВО'!U$3:U$34,'Перечень инв.проектов ВО'!$I$3:$I$34,$D26)</f>
        <v>106863.98992793576</v>
      </c>
      <c r="P26" s="62">
        <f>SUMIFS('Перечень инв.проектов ВО'!V$3:V$34,'Перечень инв.проектов ВО'!$I$3:$I$34,$D26)</f>
        <v>111138.53832505319</v>
      </c>
      <c r="Q26" s="62">
        <f>SUMIFS('Перечень инв.проектов ВО'!W$3:W$34,'Перечень инв.проектов ВО'!$I$3:$I$34,$D26)</f>
        <v>107039.96582526596</v>
      </c>
      <c r="R26" s="62">
        <f>SUMIFS('Перечень инв.проектов ВО'!X$3:X$34,'Перечень инв.проектов ВО'!$I$3:$I$34,$D26)</f>
        <v>111321.55685827658</v>
      </c>
      <c r="S26" s="52">
        <f t="shared" si="10"/>
        <v>1141772.6734591301</v>
      </c>
      <c r="U26" s="58" t="s">
        <v>202</v>
      </c>
    </row>
    <row r="27" spans="2:21" ht="25.9" customHeight="1" x14ac:dyDescent="0.2">
      <c r="B27" s="454"/>
      <c r="C27" s="457"/>
      <c r="D27" s="18" t="s">
        <v>196</v>
      </c>
      <c r="E27" s="52">
        <f>E29-E28</f>
        <v>0</v>
      </c>
      <c r="F27" s="52">
        <f>F29-F28</f>
        <v>1665</v>
      </c>
      <c r="G27" s="52">
        <f>G29-G28</f>
        <v>10009.393266154884</v>
      </c>
      <c r="H27" s="52">
        <f>H29-H28</f>
        <v>41626.621128072264</v>
      </c>
      <c r="I27" s="52">
        <f>I29-I28</f>
        <v>46971.513438306334</v>
      </c>
      <c r="J27" s="52">
        <f t="shared" ref="J27:R27" si="11">J29-J28</f>
        <v>50581.755535989774</v>
      </c>
      <c r="K27" s="52">
        <f t="shared" si="11"/>
        <v>57503.044030922531</v>
      </c>
      <c r="L27" s="52">
        <f t="shared" si="11"/>
        <v>64870.854878332597</v>
      </c>
      <c r="M27" s="52">
        <f t="shared" si="11"/>
        <v>72533.378226239074</v>
      </c>
      <c r="N27" s="52">
        <f t="shared" si="11"/>
        <v>80603.20995970181</v>
      </c>
      <c r="O27" s="52">
        <f t="shared" si="11"/>
        <v>88995.83517562304</v>
      </c>
      <c r="P27" s="52">
        <f t="shared" si="11"/>
        <v>100534.04776663607</v>
      </c>
      <c r="Q27" s="52">
        <f t="shared" si="11"/>
        <v>112106.58288645015</v>
      </c>
      <c r="R27" s="52">
        <f t="shared" si="11"/>
        <v>121102.85014143104</v>
      </c>
      <c r="S27" s="52">
        <f t="shared" si="7"/>
        <v>849104.08643385954</v>
      </c>
      <c r="U27" s="58" t="s">
        <v>202</v>
      </c>
    </row>
    <row r="28" spans="2:21" ht="39" customHeight="1" x14ac:dyDescent="0.2">
      <c r="B28" s="454"/>
      <c r="C28" s="457"/>
      <c r="D28" s="19" t="s">
        <v>197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U28" s="58" t="s">
        <v>202</v>
      </c>
    </row>
    <row r="29" spans="2:21" ht="39" customHeight="1" x14ac:dyDescent="0.2">
      <c r="B29" s="455"/>
      <c r="C29" s="458"/>
      <c r="D29" s="19" t="s">
        <v>198</v>
      </c>
      <c r="E29" s="62"/>
      <c r="F29" s="62">
        <f>Амортизация!G141</f>
        <v>1665</v>
      </c>
      <c r="G29" s="62">
        <f>Амортизация!H141</f>
        <v>10009.393266154884</v>
      </c>
      <c r="H29" s="62">
        <f>Амортизация!I141</f>
        <v>41626.621128072264</v>
      </c>
      <c r="I29" s="62">
        <f>Амортизация!J141</f>
        <v>46971.513438306334</v>
      </c>
      <c r="J29" s="62">
        <f>Амортизация!K141</f>
        <v>50581.755535989774</v>
      </c>
      <c r="K29" s="62">
        <f>Амортизация!L141</f>
        <v>57503.044030922531</v>
      </c>
      <c r="L29" s="62">
        <f>Амортизация!M141</f>
        <v>64870.854878332597</v>
      </c>
      <c r="M29" s="62">
        <f>Амортизация!N141</f>
        <v>72533.378226239074</v>
      </c>
      <c r="N29" s="62">
        <f>Амортизация!O141</f>
        <v>80603.20995970181</v>
      </c>
      <c r="O29" s="62">
        <f>Амортизация!P141</f>
        <v>88995.83517562304</v>
      </c>
      <c r="P29" s="62">
        <f>Амортизация!Q141</f>
        <v>100534.04776663607</v>
      </c>
      <c r="Q29" s="62">
        <f>Амортизация!R141</f>
        <v>112106.58288645015</v>
      </c>
      <c r="R29" s="62">
        <f>Амортизация!S141</f>
        <v>121102.85014143104</v>
      </c>
      <c r="S29" s="52">
        <f t="shared" ref="S29" si="12">SUM(E29:R29)</f>
        <v>849104.08643385954</v>
      </c>
      <c r="U29" s="58" t="s">
        <v>202</v>
      </c>
    </row>
    <row r="30" spans="2:21" ht="12.75" customHeight="1" x14ac:dyDescent="0.2">
      <c r="B30" s="27">
        <v>4</v>
      </c>
      <c r="C30" s="429" t="s">
        <v>203</v>
      </c>
      <c r="D30" s="431"/>
      <c r="E30" s="52" t="e">
        <f>E31+#REF!+#REF!+#REF!+#REF!+#REF!</f>
        <v>#REF!</v>
      </c>
      <c r="F30" s="52">
        <f>F31+F39</f>
        <v>127852.78000000001</v>
      </c>
      <c r="G30" s="52">
        <f t="shared" ref="G30:S30" si="13">G31+G39</f>
        <v>100993.42</v>
      </c>
      <c r="H30" s="52">
        <f t="shared" si="13"/>
        <v>38943.015500000009</v>
      </c>
      <c r="I30" s="52">
        <f t="shared" si="13"/>
        <v>58849.250000000015</v>
      </c>
      <c r="J30" s="52">
        <f t="shared" si="13"/>
        <v>42787.846599999997</v>
      </c>
      <c r="K30" s="52">
        <f t="shared" si="13"/>
        <v>9995.9900000000016</v>
      </c>
      <c r="L30" s="52">
        <f t="shared" si="13"/>
        <v>0</v>
      </c>
      <c r="M30" s="52">
        <f t="shared" si="13"/>
        <v>0</v>
      </c>
      <c r="N30" s="52">
        <f t="shared" si="13"/>
        <v>0</v>
      </c>
      <c r="O30" s="52">
        <f t="shared" si="13"/>
        <v>0</v>
      </c>
      <c r="P30" s="52">
        <f t="shared" si="13"/>
        <v>0</v>
      </c>
      <c r="Q30" s="52">
        <f t="shared" si="13"/>
        <v>0</v>
      </c>
      <c r="R30" s="52">
        <f t="shared" si="13"/>
        <v>0</v>
      </c>
      <c r="S30" s="52">
        <f t="shared" si="13"/>
        <v>379422.30209999997</v>
      </c>
      <c r="T30" s="93">
        <f>'Перечень инв.проектов ЭЭ'!Z56</f>
        <v>379422.30209999997</v>
      </c>
      <c r="U30" s="58" t="s">
        <v>204</v>
      </c>
    </row>
    <row r="31" spans="2:21" ht="25.5" x14ac:dyDescent="0.2">
      <c r="B31" s="453" t="s">
        <v>123</v>
      </c>
      <c r="C31" s="456" t="s">
        <v>770</v>
      </c>
      <c r="D31" s="15" t="s">
        <v>195</v>
      </c>
      <c r="E31" s="52">
        <f>SUM(E32:E35)</f>
        <v>127231.81000000001</v>
      </c>
      <c r="F31" s="52">
        <f>SUM(F32:F35)</f>
        <v>127231.81000000001</v>
      </c>
      <c r="G31" s="52">
        <f>SUM(G32:G35)</f>
        <v>97616.54</v>
      </c>
      <c r="H31" s="52">
        <f>SUM(H32:H35)</f>
        <v>38943.015500000009</v>
      </c>
      <c r="I31" s="52">
        <f>SUM(I32:I35)</f>
        <v>58849.250000000015</v>
      </c>
      <c r="J31" s="52">
        <f t="shared" ref="J31:R31" si="14">SUM(J32:J35)</f>
        <v>42787.846599999997</v>
      </c>
      <c r="K31" s="52">
        <f t="shared" si="14"/>
        <v>9995.9900000000016</v>
      </c>
      <c r="L31" s="52">
        <f t="shared" si="14"/>
        <v>0</v>
      </c>
      <c r="M31" s="52">
        <f t="shared" si="14"/>
        <v>0</v>
      </c>
      <c r="N31" s="52">
        <f t="shared" si="14"/>
        <v>0</v>
      </c>
      <c r="O31" s="52">
        <f t="shared" si="14"/>
        <v>0</v>
      </c>
      <c r="P31" s="52">
        <f t="shared" si="14"/>
        <v>0</v>
      </c>
      <c r="Q31" s="52">
        <f t="shared" si="14"/>
        <v>0</v>
      </c>
      <c r="R31" s="52">
        <f t="shared" si="14"/>
        <v>0</v>
      </c>
      <c r="S31" s="52">
        <f t="shared" ref="S31:S46" si="15">SUM(F31:R31)</f>
        <v>375424.45209999999</v>
      </c>
      <c r="U31" s="58" t="s">
        <v>204</v>
      </c>
    </row>
    <row r="32" spans="2:21" x14ac:dyDescent="0.2">
      <c r="B32" s="454"/>
      <c r="C32" s="457"/>
      <c r="D32" s="65" t="s">
        <v>163</v>
      </c>
      <c r="E32" s="62">
        <f>SUMIFS('Перечень инв.проектов ЭЭ'!M$3:M$308,'Перечень инв.проектов ЭЭ'!$K$3:$K$308,$D32,'Перечень инв.проектов ЭЭ'!$B$3:$B$308,$C$31)</f>
        <v>0</v>
      </c>
      <c r="F32" s="62">
        <f>SUMIFS('Перечень инв.проектов ЭЭ'!M$3:M$308,'Перечень инв.проектов ЭЭ'!$K$3:$K$308,$D32,'Перечень инв.проектов ЭЭ'!$B$3:$B$308,$C$31)</f>
        <v>0</v>
      </c>
      <c r="G32" s="62">
        <f>SUMIFS('Перечень инв.проектов ЭЭ'!N$3:N$308,'Перечень инв.проектов ЭЭ'!$K$3:$K$308,$D32,'Перечень инв.проектов ЭЭ'!$B$3:$B$308,$C$31)</f>
        <v>0</v>
      </c>
      <c r="H32" s="62">
        <f>SUMIFS('Перечень инв.проектов ЭЭ'!O$3:O$308,'Перечень инв.проектов ЭЭ'!$K$3:$K$308,$D32,'Перечень инв.проектов ЭЭ'!$B$3:$B$308,$C$31)</f>
        <v>0</v>
      </c>
      <c r="I32" s="62">
        <f>SUMIFS('Перечень инв.проектов ЭЭ'!P$3:P$308,'Перечень инв.проектов ЭЭ'!$K$3:$K$308,$D32,'Перечень инв.проектов ЭЭ'!$B$3:$B$308,$C$31)</f>
        <v>0</v>
      </c>
      <c r="J32" s="62">
        <f>SUMIFS('Перечень инв.проектов ЭЭ'!Q$3:Q$308,'Перечень инв.проектов ЭЭ'!$K$3:$K$308,$D32,'Перечень инв.проектов ЭЭ'!$B$3:$B$308,$C$31)</f>
        <v>0</v>
      </c>
      <c r="K32" s="62">
        <f>SUMIFS('Перечень инв.проектов ЭЭ'!R$3:R$308,'Перечень инв.проектов ЭЭ'!$K$3:$K$308,$D32,'Перечень инв.проектов ЭЭ'!$B$3:$B$308,$C$31)</f>
        <v>0</v>
      </c>
      <c r="L32" s="62">
        <f>SUMIFS('Перечень инв.проектов ЭЭ'!S$3:S$308,'Перечень инв.проектов ЭЭ'!$K$3:$K$308,$D32,'Перечень инв.проектов ЭЭ'!$B$3:$B$308,$C$31)</f>
        <v>0</v>
      </c>
      <c r="M32" s="62">
        <f>SUMIFS('Перечень инв.проектов ЭЭ'!T$3:T$308,'Перечень инв.проектов ЭЭ'!$K$3:$K$308,$D32,'Перечень инв.проектов ЭЭ'!$B$3:$B$308,$C$31)</f>
        <v>0</v>
      </c>
      <c r="N32" s="62">
        <f>SUMIFS('Перечень инв.проектов ЭЭ'!U$3:U$308,'Перечень инв.проектов ЭЭ'!$K$3:$K$308,$D32,'Перечень инв.проектов ЭЭ'!$B$3:$B$308,$C$31)</f>
        <v>0</v>
      </c>
      <c r="O32" s="62">
        <f>SUMIFS('Перечень инв.проектов ЭЭ'!V$3:V$308,'Перечень инв.проектов ЭЭ'!$K$3:$K$308,$D32,'Перечень инв.проектов ЭЭ'!$B$3:$B$308,$C$31)</f>
        <v>0</v>
      </c>
      <c r="P32" s="62">
        <f>SUMIFS('Перечень инв.проектов ЭЭ'!W$3:W$308,'Перечень инв.проектов ЭЭ'!$K$3:$K$308,$D32,'Перечень инв.проектов ЭЭ'!$B$3:$B$308,$C$31)</f>
        <v>0</v>
      </c>
      <c r="Q32" s="62">
        <f>SUMIFS('Перечень инв.проектов ЭЭ'!X$3:X$308,'Перечень инв.проектов ЭЭ'!$K$3:$K$308,$D32,'Перечень инв.проектов ЭЭ'!$B$3:$B$308,$C$31)</f>
        <v>0</v>
      </c>
      <c r="R32" s="62">
        <f>SUMIFS('Перечень инв.проектов ЭЭ'!Y$3:Y$308,'Перечень инв.проектов ЭЭ'!$K$3:$K$308,$D32,'Перечень инв.проектов ЭЭ'!$B$3:$B$308,$C$31)</f>
        <v>0</v>
      </c>
      <c r="S32" s="52">
        <f t="shared" si="15"/>
        <v>0</v>
      </c>
      <c r="U32" s="58" t="s">
        <v>204</v>
      </c>
    </row>
    <row r="33" spans="2:24" ht="25.5" x14ac:dyDescent="0.2">
      <c r="B33" s="454"/>
      <c r="C33" s="457"/>
      <c r="D33" s="66" t="s">
        <v>166</v>
      </c>
      <c r="E33" s="62">
        <f>SUMIFS('Перечень инв.проектов ЭЭ'!M$3:M$308,'Перечень инв.проектов ЭЭ'!$K$3:$K$308,$D33,'Перечень инв.проектов ЭЭ'!$B$3:$B$308,$C$31)</f>
        <v>4150.2999999999993</v>
      </c>
      <c r="F33" s="62">
        <f>SUMIFS('Перечень инв.проектов ЭЭ'!M$3:M$308,'Перечень инв.проектов ЭЭ'!$K$3:$K$308,$D33,'Перечень инв.проектов ЭЭ'!$B$3:$B$308,$C$31)</f>
        <v>4150.2999999999993</v>
      </c>
      <c r="G33" s="62">
        <f>SUMIFS('Перечень инв.проектов ЭЭ'!N$3:N$308,'Перечень инв.проектов ЭЭ'!$K$3:$K$308,$D33,'Перечень инв.проектов ЭЭ'!$B$3:$B$308,$C$31)</f>
        <v>9801.7999999999993</v>
      </c>
      <c r="H33" s="62">
        <f>SUMIFS('Перечень инв.проектов ЭЭ'!O$3:O$308,'Перечень инв.проектов ЭЭ'!$K$3:$K$308,$D33,'Перечень инв.проектов ЭЭ'!$B$3:$B$308,$C$31)</f>
        <v>9801.7999999999993</v>
      </c>
      <c r="I33" s="62">
        <f>SUMIFS('Перечень инв.проектов ЭЭ'!P$3:P$308,'Перечень инв.проектов ЭЭ'!$K$3:$K$308,$D33,'Перечень инв.проектов ЭЭ'!$B$3:$B$308,$C$31)</f>
        <v>9801.7999999999993</v>
      </c>
      <c r="J33" s="62">
        <f>SUMIFS('Перечень инв.проектов ЭЭ'!Q$3:Q$308,'Перечень инв.проектов ЭЭ'!$K$3:$K$308,$D33,'Перечень инв.проектов ЭЭ'!$B$3:$B$308,$C$31)</f>
        <v>8840.1487999999936</v>
      </c>
      <c r="K33" s="62">
        <f>SUMIFS('Перечень инв.проектов ЭЭ'!R$3:R$308,'Перечень инв.проектов ЭЭ'!$K$3:$K$308,$D33,'Перечень инв.проектов ЭЭ'!$B$3:$B$308,$C$31)</f>
        <v>0</v>
      </c>
      <c r="L33" s="62">
        <f>SUMIFS('Перечень инв.проектов ЭЭ'!S$3:S$308,'Перечень инв.проектов ЭЭ'!$K$3:$K$308,$D33,'Перечень инв.проектов ЭЭ'!$B$3:$B$308,$C$31)</f>
        <v>0</v>
      </c>
      <c r="M33" s="62">
        <f>SUMIFS('Перечень инв.проектов ЭЭ'!T$3:T$308,'Перечень инв.проектов ЭЭ'!$K$3:$K$308,$D33,'Перечень инв.проектов ЭЭ'!$B$3:$B$308,$C$31)</f>
        <v>0</v>
      </c>
      <c r="N33" s="62">
        <f>SUMIFS('Перечень инв.проектов ЭЭ'!U$3:U$308,'Перечень инв.проектов ЭЭ'!$K$3:$K$308,$D33,'Перечень инв.проектов ЭЭ'!$B$3:$B$308,$C$31)</f>
        <v>0</v>
      </c>
      <c r="O33" s="62">
        <f>SUMIFS('Перечень инв.проектов ЭЭ'!V$3:V$308,'Перечень инв.проектов ЭЭ'!$K$3:$K$308,$D33,'Перечень инв.проектов ЭЭ'!$B$3:$B$308,$C$31)</f>
        <v>0</v>
      </c>
      <c r="P33" s="62">
        <f>SUMIFS('Перечень инв.проектов ЭЭ'!W$3:W$308,'Перечень инв.проектов ЭЭ'!$K$3:$K$308,$D33,'Перечень инв.проектов ЭЭ'!$B$3:$B$308,$C$31)</f>
        <v>0</v>
      </c>
      <c r="Q33" s="62">
        <f>SUMIFS('Перечень инв.проектов ЭЭ'!X$3:X$308,'Перечень инв.проектов ЭЭ'!$K$3:$K$308,$D33,'Перечень инв.проектов ЭЭ'!$B$3:$B$308,$C$31)</f>
        <v>0</v>
      </c>
      <c r="R33" s="62">
        <f>SUMIFS('Перечень инв.проектов ЭЭ'!Y$3:Y$308,'Перечень инв.проектов ЭЭ'!$K$3:$K$308,$D33,'Перечень инв.проектов ЭЭ'!$B$3:$B$308,$C$31)</f>
        <v>0</v>
      </c>
      <c r="S33" s="52">
        <f t="shared" si="15"/>
        <v>42395.848799999992</v>
      </c>
      <c r="U33" s="58" t="s">
        <v>204</v>
      </c>
    </row>
    <row r="34" spans="2:24" x14ac:dyDescent="0.2">
      <c r="B34" s="454"/>
      <c r="C34" s="457"/>
      <c r="D34" s="66" t="s">
        <v>155</v>
      </c>
      <c r="E34" s="62">
        <f>SUMIFS('Перечень инв.проектов ЭЭ'!M$3:M$308,'Перечень инв.проектов ЭЭ'!$K$3:$K$308,$D34,'Перечень инв.проектов ЭЭ'!$B$3:$B$308,$C$31)</f>
        <v>123081.51000000001</v>
      </c>
      <c r="F34" s="62">
        <f>SUMIFS('Перечень инв.проектов ЭЭ'!M$3:M$308,'Перечень инв.проектов ЭЭ'!$K$3:$K$308,$D34,'Перечень инв.проектов ЭЭ'!$B$3:$B$308,$C$31)</f>
        <v>123081.51000000001</v>
      </c>
      <c r="G34" s="62">
        <f>SUMIFS('Перечень инв.проектов ЭЭ'!N$3:N$308,'Перечень инв.проектов ЭЭ'!$K$3:$K$308,$D34,'Перечень инв.проектов ЭЭ'!$B$3:$B$308,$C$31)</f>
        <v>87814.739999999991</v>
      </c>
      <c r="H34" s="62">
        <f>SUMIFS('Перечень инв.проектов ЭЭ'!O$3:O$308,'Перечень инв.проектов ЭЭ'!$K$3:$K$308,$D34,'Перечень инв.проектов ЭЭ'!$B$3:$B$308,$C$31)</f>
        <v>29141.215500000006</v>
      </c>
      <c r="I34" s="62">
        <f>SUMIFS('Перечень инв.проектов ЭЭ'!P$3:P$308,'Перечень инв.проектов ЭЭ'!$K$3:$K$308,$D34,'Перечень инв.проектов ЭЭ'!$B$3:$B$308,$C$31)</f>
        <v>49047.450000000012</v>
      </c>
      <c r="J34" s="62">
        <f>SUMIFS('Перечень инв.проектов ЭЭ'!Q$3:Q$308,'Перечень инв.проектов ЭЭ'!$K$3:$K$308,$D34,'Перечень инв.проектов ЭЭ'!$B$3:$B$308,$C$31)</f>
        <v>33947.697800000002</v>
      </c>
      <c r="K34" s="62">
        <f>SUMIFS('Перечень инв.проектов ЭЭ'!R$3:R$308,'Перечень инв.проектов ЭЭ'!$K$3:$K$308,$D34,'Перечень инв.проектов ЭЭ'!$B$3:$B$308,$C$31)</f>
        <v>9995.9900000000016</v>
      </c>
      <c r="L34" s="62">
        <f>SUMIFS('Перечень инв.проектов ЭЭ'!S$3:S$308,'Перечень инв.проектов ЭЭ'!$K$3:$K$308,$D34,'Перечень инв.проектов ЭЭ'!$B$3:$B$308,$C$31)</f>
        <v>0</v>
      </c>
      <c r="M34" s="62">
        <f>SUMIFS('Перечень инв.проектов ЭЭ'!T$3:T$308,'Перечень инв.проектов ЭЭ'!$K$3:$K$308,$D34,'Перечень инв.проектов ЭЭ'!$B$3:$B$308,$C$31)</f>
        <v>0</v>
      </c>
      <c r="N34" s="62">
        <f>SUMIFS('Перечень инв.проектов ЭЭ'!U$3:U$308,'Перечень инв.проектов ЭЭ'!$K$3:$K$308,$D34,'Перечень инв.проектов ЭЭ'!$B$3:$B$308,$C$31)</f>
        <v>0</v>
      </c>
      <c r="O34" s="62">
        <f>SUMIFS('Перечень инв.проектов ЭЭ'!V$3:V$308,'Перечень инв.проектов ЭЭ'!$K$3:$K$308,$D34,'Перечень инв.проектов ЭЭ'!$B$3:$B$308,$C$31)</f>
        <v>0</v>
      </c>
      <c r="P34" s="62">
        <f>SUMIFS('Перечень инв.проектов ЭЭ'!W$3:W$308,'Перечень инв.проектов ЭЭ'!$K$3:$K$308,$D34,'Перечень инв.проектов ЭЭ'!$B$3:$B$308,$C$31)</f>
        <v>0</v>
      </c>
      <c r="Q34" s="62">
        <f>SUMIFS('Перечень инв.проектов ЭЭ'!X$3:X$308,'Перечень инв.проектов ЭЭ'!$K$3:$K$308,$D34,'Перечень инв.проектов ЭЭ'!$B$3:$B$308,$C$31)</f>
        <v>0</v>
      </c>
      <c r="R34" s="62">
        <f>SUMIFS('Перечень инв.проектов ЭЭ'!Y$3:Y$308,'Перечень инв.проектов ЭЭ'!$K$3:$K$308,$D34,'Перечень инв.проектов ЭЭ'!$B$3:$B$308,$C$31)</f>
        <v>0</v>
      </c>
      <c r="S34" s="52">
        <f t="shared" si="15"/>
        <v>333028.60330000002</v>
      </c>
      <c r="U34" s="58" t="s">
        <v>204</v>
      </c>
    </row>
    <row r="35" spans="2:24" x14ac:dyDescent="0.2">
      <c r="B35" s="454"/>
      <c r="C35" s="457"/>
      <c r="D35" s="66" t="s">
        <v>310</v>
      </c>
      <c r="E35" s="62">
        <f>SUMIFS('Перечень инв.проектов ЭЭ'!M$3:M$308,'Перечень инв.проектов ЭЭ'!$K$3:$K$308,$D35,'Перечень инв.проектов ЭЭ'!$B$3:$B$308,$C$31)</f>
        <v>0</v>
      </c>
      <c r="F35" s="62">
        <f>SUMIFS('Перечень инв.проектов ЭЭ'!M$3:M$308,'Перечень инв.проектов ЭЭ'!$K$3:$K$308,$D35,'Перечень инв.проектов ЭЭ'!$B$3:$B$308,$C$31)</f>
        <v>0</v>
      </c>
      <c r="G35" s="62">
        <f>SUMIFS('Перечень инв.проектов ЭЭ'!N$3:N$308,'Перечень инв.проектов ЭЭ'!$K$3:$K$308,$D35,'Перечень инв.проектов ЭЭ'!$B$3:$B$308,$C$31)</f>
        <v>0</v>
      </c>
      <c r="H35" s="62">
        <f>SUMIFS('Перечень инв.проектов ЭЭ'!O$3:O$308,'Перечень инв.проектов ЭЭ'!$K$3:$K$308,$D35,'Перечень инв.проектов ЭЭ'!$B$3:$B$308,$C$31)</f>
        <v>0</v>
      </c>
      <c r="I35" s="62">
        <f>SUMIFS('Перечень инв.проектов ЭЭ'!P$3:P$308,'Перечень инв.проектов ЭЭ'!$K$3:$K$308,$D35,'Перечень инв.проектов ЭЭ'!$B$3:$B$308,$C$31)</f>
        <v>0</v>
      </c>
      <c r="J35" s="62">
        <f>SUMIFS('Перечень инв.проектов ЭЭ'!Q$3:Q$308,'Перечень инв.проектов ЭЭ'!$K$3:$K$308,$D35,'Перечень инв.проектов ЭЭ'!$B$3:$B$308,$C$31)</f>
        <v>0</v>
      </c>
      <c r="K35" s="62">
        <f>SUMIFS('Перечень инв.проектов ЭЭ'!R$3:R$308,'Перечень инв.проектов ЭЭ'!$K$3:$K$308,$D35,'Перечень инв.проектов ЭЭ'!$B$3:$B$308,$C$31)</f>
        <v>0</v>
      </c>
      <c r="L35" s="62">
        <f>SUMIFS('Перечень инв.проектов ЭЭ'!S$3:S$308,'Перечень инв.проектов ЭЭ'!$K$3:$K$308,$D35,'Перечень инв.проектов ЭЭ'!$B$3:$B$308,$C$31)</f>
        <v>0</v>
      </c>
      <c r="M35" s="62">
        <f>SUMIFS('Перечень инв.проектов ЭЭ'!T$3:T$308,'Перечень инв.проектов ЭЭ'!$K$3:$K$308,$D35,'Перечень инв.проектов ЭЭ'!$B$3:$B$308,$C$31)</f>
        <v>0</v>
      </c>
      <c r="N35" s="62">
        <f>SUMIFS('Перечень инв.проектов ЭЭ'!U$3:U$308,'Перечень инв.проектов ЭЭ'!$K$3:$K$308,$D35,'Перечень инв.проектов ЭЭ'!$B$3:$B$308,$C$31)</f>
        <v>0</v>
      </c>
      <c r="O35" s="62">
        <f>SUMIFS('Перечень инв.проектов ЭЭ'!V$3:V$308,'Перечень инв.проектов ЭЭ'!$K$3:$K$308,$D35,'Перечень инв.проектов ЭЭ'!$B$3:$B$308,$C$31)</f>
        <v>0</v>
      </c>
      <c r="P35" s="62">
        <f>SUMIFS('Перечень инв.проектов ЭЭ'!W$3:W$308,'Перечень инв.проектов ЭЭ'!$K$3:$K$308,$D35,'Перечень инв.проектов ЭЭ'!$B$3:$B$308,$C$31)</f>
        <v>0</v>
      </c>
      <c r="Q35" s="62">
        <f>SUMIFS('Перечень инв.проектов ЭЭ'!X$3:X$308,'Перечень инв.проектов ЭЭ'!$K$3:$K$308,$D35,'Перечень инв.проектов ЭЭ'!$B$3:$B$308,$C$31)</f>
        <v>0</v>
      </c>
      <c r="R35" s="62">
        <f>SUMIFS('Перечень инв.проектов ЭЭ'!Y$3:Y$308,'Перечень инв.проектов ЭЭ'!$K$3:$K$308,$D35,'Перечень инв.проектов ЭЭ'!$B$3:$B$308,$C$31)</f>
        <v>0</v>
      </c>
      <c r="S35" s="52">
        <f t="shared" si="15"/>
        <v>0</v>
      </c>
      <c r="U35" s="58" t="s">
        <v>204</v>
      </c>
    </row>
    <row r="36" spans="2:24" ht="25.5" x14ac:dyDescent="0.2">
      <c r="B36" s="454"/>
      <c r="C36" s="457"/>
      <c r="D36" s="18" t="s">
        <v>196</v>
      </c>
      <c r="E36" s="52">
        <f>E38-E37</f>
        <v>0</v>
      </c>
      <c r="F36" s="52">
        <f>F38-F37</f>
        <v>7494.9450000000006</v>
      </c>
      <c r="G36" s="52">
        <f>G38-G37</f>
        <v>8793.045516666667</v>
      </c>
      <c r="H36" s="52">
        <f>H38-H37</f>
        <v>10754.687183333333</v>
      </c>
      <c r="I36" s="52">
        <f>I38-I37</f>
        <v>12180.948736666667</v>
      </c>
      <c r="J36" s="52">
        <f t="shared" ref="J36:R36" si="16">J38-J37</f>
        <v>0</v>
      </c>
      <c r="K36" s="52">
        <f t="shared" si="16"/>
        <v>0</v>
      </c>
      <c r="L36" s="52">
        <f t="shared" si="16"/>
        <v>0</v>
      </c>
      <c r="M36" s="52">
        <f t="shared" si="16"/>
        <v>0</v>
      </c>
      <c r="N36" s="52">
        <f t="shared" si="16"/>
        <v>0</v>
      </c>
      <c r="O36" s="52">
        <f t="shared" si="16"/>
        <v>0</v>
      </c>
      <c r="P36" s="52">
        <f t="shared" si="16"/>
        <v>0</v>
      </c>
      <c r="Q36" s="52">
        <f t="shared" si="16"/>
        <v>0</v>
      </c>
      <c r="R36" s="52">
        <f t="shared" si="16"/>
        <v>0</v>
      </c>
      <c r="S36" s="52">
        <f t="shared" si="15"/>
        <v>39223.626436666666</v>
      </c>
      <c r="U36" s="58" t="s">
        <v>204</v>
      </c>
      <c r="X36" s="159"/>
    </row>
    <row r="37" spans="2:24" ht="38.25" x14ac:dyDescent="0.2">
      <c r="B37" s="454"/>
      <c r="C37" s="457"/>
      <c r="D37" s="19" t="s">
        <v>197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52">
        <f t="shared" si="15"/>
        <v>0</v>
      </c>
      <c r="U37" s="58" t="s">
        <v>204</v>
      </c>
    </row>
    <row r="38" spans="2:24" ht="38.25" x14ac:dyDescent="0.2">
      <c r="B38" s="455"/>
      <c r="C38" s="458"/>
      <c r="D38" s="19" t="s">
        <v>198</v>
      </c>
      <c r="E38" s="62"/>
      <c r="F38" s="62">
        <f>Амортизация!G161</f>
        <v>7494.9450000000006</v>
      </c>
      <c r="G38" s="62">
        <f>Амортизация!H161</f>
        <v>8793.045516666667</v>
      </c>
      <c r="H38" s="62">
        <f>Амортизация!I161</f>
        <v>10754.687183333333</v>
      </c>
      <c r="I38" s="62">
        <f>Амортизация!J161</f>
        <v>12180.948736666667</v>
      </c>
      <c r="J38" s="62">
        <f>Амортизация!K161</f>
        <v>0</v>
      </c>
      <c r="K38" s="62">
        <f>Амортизация!L161</f>
        <v>0</v>
      </c>
      <c r="L38" s="62">
        <f>Амортизация!M161</f>
        <v>0</v>
      </c>
      <c r="M38" s="62">
        <f>Амортизация!N161</f>
        <v>0</v>
      </c>
      <c r="N38" s="62">
        <f>Амортизация!O161</f>
        <v>0</v>
      </c>
      <c r="O38" s="62">
        <f>Амортизация!P161</f>
        <v>0</v>
      </c>
      <c r="P38" s="62">
        <f>Амортизация!Q161</f>
        <v>0</v>
      </c>
      <c r="Q38" s="62">
        <f>Амортизация!R161</f>
        <v>0</v>
      </c>
      <c r="R38" s="62">
        <f>Амортизация!S161</f>
        <v>0</v>
      </c>
      <c r="S38" s="52">
        <f t="shared" si="15"/>
        <v>39223.626436666666</v>
      </c>
      <c r="U38" s="58" t="s">
        <v>204</v>
      </c>
    </row>
    <row r="39" spans="2:24" ht="25.5" x14ac:dyDescent="0.2">
      <c r="B39" s="453" t="s">
        <v>132</v>
      </c>
      <c r="C39" s="456" t="s">
        <v>769</v>
      </c>
      <c r="D39" s="15" t="s">
        <v>195</v>
      </c>
      <c r="E39" s="52">
        <f>SUM(E40:E43)</f>
        <v>127231.81000000001</v>
      </c>
      <c r="F39" s="52">
        <f>SUM(F40:F43)</f>
        <v>620.96999999999991</v>
      </c>
      <c r="G39" s="52">
        <f>SUM(G40:G43)</f>
        <v>3376.8800000000006</v>
      </c>
      <c r="H39" s="52">
        <f>SUM(H40:H43)</f>
        <v>0</v>
      </c>
      <c r="I39" s="52">
        <f>SUM(I40:I43)</f>
        <v>0</v>
      </c>
      <c r="J39" s="52"/>
      <c r="K39" s="52"/>
      <c r="L39" s="52"/>
      <c r="M39" s="52"/>
      <c r="N39" s="52"/>
      <c r="O39" s="52"/>
      <c r="P39" s="52"/>
      <c r="Q39" s="52"/>
      <c r="R39" s="52"/>
      <c r="S39" s="52">
        <f t="shared" si="15"/>
        <v>3997.8500000000004</v>
      </c>
      <c r="T39" s="76"/>
      <c r="U39" s="58" t="s">
        <v>204</v>
      </c>
    </row>
    <row r="40" spans="2:24" x14ac:dyDescent="0.2">
      <c r="B40" s="454"/>
      <c r="C40" s="457"/>
      <c r="D40" s="65" t="s">
        <v>163</v>
      </c>
      <c r="E40" s="62">
        <f>SUMIFS('Перечень инв.проектов ЭЭ'!M$3:M$308,'Перечень инв.проектов ЭЭ'!$K$3:$K$308,$D40,'Перечень инв.проектов ЭЭ'!$B$3:$B$308,$C$31)</f>
        <v>0</v>
      </c>
      <c r="F40" s="62">
        <f>SUMIFS('Перечень инв.проектов ЭЭ'!M$3:M$308,'Перечень инв.проектов ЭЭ'!$K$3:$K$308,$D40,'Перечень инв.проектов ЭЭ'!$B$3:$B$308,$C$39)</f>
        <v>0</v>
      </c>
      <c r="G40" s="62">
        <f>SUMIFS('Перечень инв.проектов ЭЭ'!N$3:N$308,'Перечень инв.проектов ЭЭ'!$K$3:$K$308,$D40,'Перечень инв.проектов ЭЭ'!$B$3:$B$308,$C$39)</f>
        <v>0</v>
      </c>
      <c r="H40" s="62">
        <f>SUMIFS('Перечень инв.проектов ЭЭ'!O$3:O$308,'Перечень инв.проектов ЭЭ'!$K$3:$K$308,$D40,'Перечень инв.проектов ЭЭ'!$B$3:$B$308,$C$39)</f>
        <v>0</v>
      </c>
      <c r="I40" s="62">
        <f>SUMIFS('Перечень инв.проектов ЭЭ'!P$3:P$308,'Перечень инв.проектов ЭЭ'!$K$3:$K$308,$D40,'Перечень инв.проектов ЭЭ'!$B$3:$B$308,$C$39)</f>
        <v>0</v>
      </c>
      <c r="J40" s="62">
        <f>SUMIFS('Перечень инв.проектов ЭЭ'!Q$3:Q$308,'Перечень инв.проектов ЭЭ'!$K$3:$K$308,$D40,'Перечень инв.проектов ЭЭ'!$B$3:$B$308,$C$39)</f>
        <v>0</v>
      </c>
      <c r="K40" s="62">
        <f>SUMIFS('Перечень инв.проектов ЭЭ'!R$3:R$308,'Перечень инв.проектов ЭЭ'!$K$3:$K$308,$D40,'Перечень инв.проектов ЭЭ'!$B$3:$B$308,$C$39)</f>
        <v>0</v>
      </c>
      <c r="L40" s="62">
        <f>SUMIFS('Перечень инв.проектов ЭЭ'!S$3:S$308,'Перечень инв.проектов ЭЭ'!$K$3:$K$308,$D40,'Перечень инв.проектов ЭЭ'!$B$3:$B$308,$C$39)</f>
        <v>0</v>
      </c>
      <c r="M40" s="62">
        <f>SUMIFS('Перечень инв.проектов ЭЭ'!T$3:T$308,'Перечень инв.проектов ЭЭ'!$K$3:$K$308,$D40,'Перечень инв.проектов ЭЭ'!$B$3:$B$308,$C$39)</f>
        <v>0</v>
      </c>
      <c r="N40" s="62">
        <f>SUMIFS('Перечень инв.проектов ЭЭ'!U$3:U$308,'Перечень инв.проектов ЭЭ'!$K$3:$K$308,$D40,'Перечень инв.проектов ЭЭ'!$B$3:$B$308,$C$39)</f>
        <v>0</v>
      </c>
      <c r="O40" s="62">
        <f>SUMIFS('Перечень инв.проектов ЭЭ'!V$3:V$308,'Перечень инв.проектов ЭЭ'!$K$3:$K$308,$D40,'Перечень инв.проектов ЭЭ'!$B$3:$B$308,$C$39)</f>
        <v>0</v>
      </c>
      <c r="P40" s="62">
        <f>SUMIFS('Перечень инв.проектов ЭЭ'!W$3:W$308,'Перечень инв.проектов ЭЭ'!$K$3:$K$308,$D40,'Перечень инв.проектов ЭЭ'!$B$3:$B$308,$C$39)</f>
        <v>0</v>
      </c>
      <c r="Q40" s="62">
        <f>SUMIFS('Перечень инв.проектов ЭЭ'!X$3:X$308,'Перечень инв.проектов ЭЭ'!$K$3:$K$308,$D40,'Перечень инв.проектов ЭЭ'!$B$3:$B$308,$C$39)</f>
        <v>0</v>
      </c>
      <c r="R40" s="62">
        <f>SUMIFS('Перечень инв.проектов ЭЭ'!Y$3:Y$308,'Перечень инв.проектов ЭЭ'!$K$3:$K$308,$D40,'Перечень инв.проектов ЭЭ'!$B$3:$B$308,$C$39)</f>
        <v>0</v>
      </c>
      <c r="S40" s="52">
        <f t="shared" si="15"/>
        <v>0</v>
      </c>
      <c r="U40" s="58" t="s">
        <v>204</v>
      </c>
    </row>
    <row r="41" spans="2:24" ht="25.5" x14ac:dyDescent="0.2">
      <c r="B41" s="454"/>
      <c r="C41" s="457"/>
      <c r="D41" s="66" t="s">
        <v>166</v>
      </c>
      <c r="E41" s="62">
        <f>SUMIFS('Перечень инв.проектов ЭЭ'!M$3:M$308,'Перечень инв.проектов ЭЭ'!$K$3:$K$308,$D41,'Перечень инв.проектов ЭЭ'!$B$3:$B$308,$C$31)</f>
        <v>4150.2999999999993</v>
      </c>
      <c r="F41" s="62">
        <f>SUMIFS('Перечень инв.проектов ЭЭ'!M$3:M$308,'Перечень инв.проектов ЭЭ'!$K$3:$K$308,$D41,'Перечень инв.проектов ЭЭ'!$B$3:$B$308,$C$39)</f>
        <v>620.96999999999991</v>
      </c>
      <c r="G41" s="62">
        <f>SUMIFS('Перечень инв.проектов ЭЭ'!N$3:N$308,'Перечень инв.проектов ЭЭ'!$K$3:$K$308,$D41,'Перечень инв.проектов ЭЭ'!$B$3:$B$308,$C$39)</f>
        <v>3376.8800000000006</v>
      </c>
      <c r="H41" s="62">
        <f>SUMIFS('Перечень инв.проектов ЭЭ'!O$3:O$308,'Перечень инв.проектов ЭЭ'!$K$3:$K$308,$D41,'Перечень инв.проектов ЭЭ'!$B$3:$B$308,$C$39)</f>
        <v>0</v>
      </c>
      <c r="I41" s="62">
        <f>SUMIFS('Перечень инв.проектов ЭЭ'!P$3:P$308,'Перечень инв.проектов ЭЭ'!$K$3:$K$308,$D41,'Перечень инв.проектов ЭЭ'!$B$3:$B$308,$C$39)</f>
        <v>0</v>
      </c>
      <c r="J41" s="62">
        <f>SUMIFS('Перечень инв.проектов ЭЭ'!Q$3:Q$308,'Перечень инв.проектов ЭЭ'!$K$3:$K$308,$D41,'Перечень инв.проектов ЭЭ'!$B$3:$B$308,$C$39)</f>
        <v>0</v>
      </c>
      <c r="K41" s="62">
        <f>SUMIFS('Перечень инв.проектов ЭЭ'!R$3:R$308,'Перечень инв.проектов ЭЭ'!$K$3:$K$308,$D41,'Перечень инв.проектов ЭЭ'!$B$3:$B$308,$C$39)</f>
        <v>0</v>
      </c>
      <c r="L41" s="62">
        <f>SUMIFS('Перечень инв.проектов ЭЭ'!S$3:S$308,'Перечень инв.проектов ЭЭ'!$K$3:$K$308,$D41,'Перечень инв.проектов ЭЭ'!$B$3:$B$308,$C$39)</f>
        <v>0</v>
      </c>
      <c r="M41" s="62">
        <f>SUMIFS('Перечень инв.проектов ЭЭ'!T$3:T$308,'Перечень инв.проектов ЭЭ'!$K$3:$K$308,$D41,'Перечень инв.проектов ЭЭ'!$B$3:$B$308,$C$39)</f>
        <v>0</v>
      </c>
      <c r="N41" s="62">
        <f>SUMIFS('Перечень инв.проектов ЭЭ'!U$3:U$308,'Перечень инв.проектов ЭЭ'!$K$3:$K$308,$D41,'Перечень инв.проектов ЭЭ'!$B$3:$B$308,$C$39)</f>
        <v>0</v>
      </c>
      <c r="O41" s="62">
        <f>SUMIFS('Перечень инв.проектов ЭЭ'!V$3:V$308,'Перечень инв.проектов ЭЭ'!$K$3:$K$308,$D41,'Перечень инв.проектов ЭЭ'!$B$3:$B$308,$C$39)</f>
        <v>0</v>
      </c>
      <c r="P41" s="62">
        <f>SUMIFS('Перечень инв.проектов ЭЭ'!W$3:W$308,'Перечень инв.проектов ЭЭ'!$K$3:$K$308,$D41,'Перечень инв.проектов ЭЭ'!$B$3:$B$308,$C$39)</f>
        <v>0</v>
      </c>
      <c r="Q41" s="62">
        <f>SUMIFS('Перечень инв.проектов ЭЭ'!X$3:X$308,'Перечень инв.проектов ЭЭ'!$K$3:$K$308,$D41,'Перечень инв.проектов ЭЭ'!$B$3:$B$308,$C$39)</f>
        <v>0</v>
      </c>
      <c r="R41" s="62">
        <f>SUMIFS('Перечень инв.проектов ЭЭ'!Y$3:Y$308,'Перечень инв.проектов ЭЭ'!$K$3:$K$308,$D41,'Перечень инв.проектов ЭЭ'!$B$3:$B$308,$C$39)</f>
        <v>0</v>
      </c>
      <c r="S41" s="52">
        <f t="shared" si="15"/>
        <v>3997.8500000000004</v>
      </c>
      <c r="U41" s="58" t="s">
        <v>204</v>
      </c>
    </row>
    <row r="42" spans="2:24" x14ac:dyDescent="0.2">
      <c r="B42" s="454"/>
      <c r="C42" s="457"/>
      <c r="D42" s="66" t="s">
        <v>155</v>
      </c>
      <c r="E42" s="62">
        <f>SUMIFS('Перечень инв.проектов ЭЭ'!M$3:M$308,'Перечень инв.проектов ЭЭ'!$K$3:$K$308,$D42,'Перечень инв.проектов ЭЭ'!$B$3:$B$308,$C$31)</f>
        <v>123081.51000000001</v>
      </c>
      <c r="F42" s="62">
        <f>SUMIFS('Перечень инв.проектов ЭЭ'!M$3:M$308,'Перечень инв.проектов ЭЭ'!$K$3:$K$308,$D42,'Перечень инв.проектов ЭЭ'!$B$3:$B$308,$C$39)</f>
        <v>0</v>
      </c>
      <c r="G42" s="62">
        <f>SUMIFS('Перечень инв.проектов ЭЭ'!N$3:N$308,'Перечень инв.проектов ЭЭ'!$K$3:$K$308,$D42,'Перечень инв.проектов ЭЭ'!$B$3:$B$308,$C$39)</f>
        <v>0</v>
      </c>
      <c r="H42" s="62">
        <f>SUMIFS('Перечень инв.проектов ЭЭ'!O$3:O$308,'Перечень инв.проектов ЭЭ'!$K$3:$K$308,$D42,'Перечень инв.проектов ЭЭ'!$B$3:$B$308,$C$39)</f>
        <v>0</v>
      </c>
      <c r="I42" s="62">
        <f>SUMIFS('Перечень инв.проектов ЭЭ'!P$3:P$308,'Перечень инв.проектов ЭЭ'!$K$3:$K$308,$D42,'Перечень инв.проектов ЭЭ'!$B$3:$B$308,$C$39)</f>
        <v>0</v>
      </c>
      <c r="J42" s="62">
        <f>SUMIFS('Перечень инв.проектов ЭЭ'!Q$3:Q$308,'Перечень инв.проектов ЭЭ'!$K$3:$K$308,$D42,'Перечень инв.проектов ЭЭ'!$B$3:$B$308,$C$39)</f>
        <v>0</v>
      </c>
      <c r="K42" s="62">
        <f>SUMIFS('Перечень инв.проектов ЭЭ'!R$3:R$308,'Перечень инв.проектов ЭЭ'!$K$3:$K$308,$D42,'Перечень инв.проектов ЭЭ'!$B$3:$B$308,$C$39)</f>
        <v>0</v>
      </c>
      <c r="L42" s="62">
        <f>SUMIFS('Перечень инв.проектов ЭЭ'!S$3:S$308,'Перечень инв.проектов ЭЭ'!$K$3:$K$308,$D42,'Перечень инв.проектов ЭЭ'!$B$3:$B$308,$C$39)</f>
        <v>0</v>
      </c>
      <c r="M42" s="62">
        <f>SUMIFS('Перечень инв.проектов ЭЭ'!T$3:T$308,'Перечень инв.проектов ЭЭ'!$K$3:$K$308,$D42,'Перечень инв.проектов ЭЭ'!$B$3:$B$308,$C$39)</f>
        <v>0</v>
      </c>
      <c r="N42" s="62">
        <f>SUMIFS('Перечень инв.проектов ЭЭ'!U$3:U$308,'Перечень инв.проектов ЭЭ'!$K$3:$K$308,$D42,'Перечень инв.проектов ЭЭ'!$B$3:$B$308,$C$39)</f>
        <v>0</v>
      </c>
      <c r="O42" s="62">
        <f>SUMIFS('Перечень инв.проектов ЭЭ'!V$3:V$308,'Перечень инв.проектов ЭЭ'!$K$3:$K$308,$D42,'Перечень инв.проектов ЭЭ'!$B$3:$B$308,$C$39)</f>
        <v>0</v>
      </c>
      <c r="P42" s="62">
        <f>SUMIFS('Перечень инв.проектов ЭЭ'!W$3:W$308,'Перечень инв.проектов ЭЭ'!$K$3:$K$308,$D42,'Перечень инв.проектов ЭЭ'!$B$3:$B$308,$C$39)</f>
        <v>0</v>
      </c>
      <c r="Q42" s="62">
        <f>SUMIFS('Перечень инв.проектов ЭЭ'!X$3:X$308,'Перечень инв.проектов ЭЭ'!$K$3:$K$308,$D42,'Перечень инв.проектов ЭЭ'!$B$3:$B$308,$C$39)</f>
        <v>0</v>
      </c>
      <c r="R42" s="62">
        <f>SUMIFS('Перечень инв.проектов ЭЭ'!Y$3:Y$308,'Перечень инв.проектов ЭЭ'!$K$3:$K$308,$D42,'Перечень инв.проектов ЭЭ'!$B$3:$B$308,$C$39)</f>
        <v>0</v>
      </c>
      <c r="S42" s="52">
        <f t="shared" si="15"/>
        <v>0</v>
      </c>
      <c r="U42" s="58" t="s">
        <v>204</v>
      </c>
    </row>
    <row r="43" spans="2:24" x14ac:dyDescent="0.2">
      <c r="B43" s="454"/>
      <c r="C43" s="457"/>
      <c r="D43" s="66" t="s">
        <v>310</v>
      </c>
      <c r="E43" s="62">
        <f>SUMIFS('Перечень инв.проектов ЭЭ'!M$3:M$308,'Перечень инв.проектов ЭЭ'!$K$3:$K$308,$D43,'Перечень инв.проектов ЭЭ'!$B$3:$B$308,$C$31)</f>
        <v>0</v>
      </c>
      <c r="F43" s="62">
        <f>SUMIFS('Перечень инв.проектов ЭЭ'!M$3:M$308,'Перечень инв.проектов ЭЭ'!$K$3:$K$308,$D43,'Перечень инв.проектов ЭЭ'!$B$3:$B$308,$C$39)</f>
        <v>0</v>
      </c>
      <c r="G43" s="62">
        <f>SUMIFS('Перечень инв.проектов ЭЭ'!N$3:N$308,'Перечень инв.проектов ЭЭ'!$K$3:$K$308,$D43,'Перечень инв.проектов ЭЭ'!$B$3:$B$308,$C$39)</f>
        <v>0</v>
      </c>
      <c r="H43" s="62">
        <f>SUMIFS('Перечень инв.проектов ЭЭ'!O$3:O$308,'Перечень инв.проектов ЭЭ'!$K$3:$K$308,$D43,'Перечень инв.проектов ЭЭ'!$B$3:$B$308,$C$39)</f>
        <v>0</v>
      </c>
      <c r="I43" s="62">
        <f>SUMIFS('Перечень инв.проектов ЭЭ'!P$3:P$308,'Перечень инв.проектов ЭЭ'!$K$3:$K$308,$D43,'Перечень инв.проектов ЭЭ'!$B$3:$B$308,$C$39)</f>
        <v>0</v>
      </c>
      <c r="J43" s="62">
        <f>SUMIFS('Перечень инв.проектов ЭЭ'!Q$3:Q$308,'Перечень инв.проектов ЭЭ'!$K$3:$K$308,$D43,'Перечень инв.проектов ЭЭ'!$B$3:$B$308,$C$39)</f>
        <v>0</v>
      </c>
      <c r="K43" s="62">
        <f>SUMIFS('Перечень инв.проектов ЭЭ'!R$3:R$308,'Перечень инв.проектов ЭЭ'!$K$3:$K$308,$D43,'Перечень инв.проектов ЭЭ'!$B$3:$B$308,$C$39)</f>
        <v>0</v>
      </c>
      <c r="L43" s="62">
        <f>SUMIFS('Перечень инв.проектов ЭЭ'!S$3:S$308,'Перечень инв.проектов ЭЭ'!$K$3:$K$308,$D43,'Перечень инв.проектов ЭЭ'!$B$3:$B$308,$C$39)</f>
        <v>0</v>
      </c>
      <c r="M43" s="62">
        <f>SUMIFS('Перечень инв.проектов ЭЭ'!T$3:T$308,'Перечень инв.проектов ЭЭ'!$K$3:$K$308,$D43,'Перечень инв.проектов ЭЭ'!$B$3:$B$308,$C$39)</f>
        <v>0</v>
      </c>
      <c r="N43" s="62">
        <f>SUMIFS('Перечень инв.проектов ЭЭ'!U$3:U$308,'Перечень инв.проектов ЭЭ'!$K$3:$K$308,$D43,'Перечень инв.проектов ЭЭ'!$B$3:$B$308,$C$39)</f>
        <v>0</v>
      </c>
      <c r="O43" s="62">
        <f>SUMIFS('Перечень инв.проектов ЭЭ'!V$3:V$308,'Перечень инв.проектов ЭЭ'!$K$3:$K$308,$D43,'Перечень инв.проектов ЭЭ'!$B$3:$B$308,$C$39)</f>
        <v>0</v>
      </c>
      <c r="P43" s="62">
        <f>SUMIFS('Перечень инв.проектов ЭЭ'!W$3:W$308,'Перечень инв.проектов ЭЭ'!$K$3:$K$308,$D43,'Перечень инв.проектов ЭЭ'!$B$3:$B$308,$C$39)</f>
        <v>0</v>
      </c>
      <c r="Q43" s="62">
        <f>SUMIFS('Перечень инв.проектов ЭЭ'!X$3:X$308,'Перечень инв.проектов ЭЭ'!$K$3:$K$308,$D43,'Перечень инв.проектов ЭЭ'!$B$3:$B$308,$C$39)</f>
        <v>0</v>
      </c>
      <c r="R43" s="62">
        <f>SUMIFS('Перечень инв.проектов ЭЭ'!Y$3:Y$308,'Перечень инв.проектов ЭЭ'!$K$3:$K$308,$D43,'Перечень инв.проектов ЭЭ'!$B$3:$B$308,$C$39)</f>
        <v>0</v>
      </c>
      <c r="S43" s="52">
        <f t="shared" si="15"/>
        <v>0</v>
      </c>
      <c r="U43" s="58" t="s">
        <v>204</v>
      </c>
    </row>
    <row r="44" spans="2:24" ht="25.5" x14ac:dyDescent="0.2">
      <c r="B44" s="454"/>
      <c r="C44" s="457"/>
      <c r="D44" s="18" t="s">
        <v>196</v>
      </c>
      <c r="E44" s="52">
        <f>E46-E45</f>
        <v>0</v>
      </c>
      <c r="F44" s="52">
        <f>F46-F45</f>
        <v>0</v>
      </c>
      <c r="G44" s="52">
        <f>G46-G45</f>
        <v>0</v>
      </c>
      <c r="H44" s="52">
        <f>H46-H45</f>
        <v>0</v>
      </c>
      <c r="I44" s="52">
        <f>I46-I45</f>
        <v>0</v>
      </c>
      <c r="J44" s="52"/>
      <c r="K44" s="52"/>
      <c r="L44" s="52"/>
      <c r="M44" s="52"/>
      <c r="N44" s="52"/>
      <c r="O44" s="52"/>
      <c r="P44" s="52"/>
      <c r="Q44" s="52"/>
      <c r="R44" s="52"/>
      <c r="S44" s="52">
        <f t="shared" si="15"/>
        <v>0</v>
      </c>
      <c r="U44" s="58" t="s">
        <v>204</v>
      </c>
      <c r="X44" s="159"/>
    </row>
    <row r="45" spans="2:24" ht="38.25" x14ac:dyDescent="0.2">
      <c r="B45" s="454"/>
      <c r="C45" s="457"/>
      <c r="D45" s="19" t="s">
        <v>197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/>
      <c r="K45" s="45"/>
      <c r="L45" s="45"/>
      <c r="M45" s="45"/>
      <c r="N45" s="45"/>
      <c r="O45" s="45"/>
      <c r="P45" s="45"/>
      <c r="Q45" s="45"/>
      <c r="R45" s="45"/>
      <c r="S45" s="52">
        <f t="shared" si="15"/>
        <v>0</v>
      </c>
      <c r="U45" s="58" t="s">
        <v>204</v>
      </c>
    </row>
    <row r="46" spans="2:24" ht="38.25" x14ac:dyDescent="0.2">
      <c r="B46" s="455"/>
      <c r="C46" s="458"/>
      <c r="D46" s="19" t="s">
        <v>198</v>
      </c>
      <c r="E46" s="62"/>
      <c r="F46" s="62">
        <f>Амортизация!G169</f>
        <v>0</v>
      </c>
      <c r="G46" s="62">
        <f>Амортизация!H169</f>
        <v>0</v>
      </c>
      <c r="H46" s="62">
        <f>Амортизация!I169</f>
        <v>0</v>
      </c>
      <c r="I46" s="62">
        <f>Амортизация!J169</f>
        <v>0</v>
      </c>
      <c r="J46" s="62">
        <f>Амортизация!K169</f>
        <v>0</v>
      </c>
      <c r="K46" s="62">
        <f>Амортизация!L169</f>
        <v>0</v>
      </c>
      <c r="L46" s="62">
        <f>Амортизация!M169</f>
        <v>0</v>
      </c>
      <c r="M46" s="62">
        <f>Амортизация!N169</f>
        <v>0</v>
      </c>
      <c r="N46" s="62">
        <f>Амортизация!O169</f>
        <v>0</v>
      </c>
      <c r="O46" s="62">
        <f>Амортизация!P169</f>
        <v>0</v>
      </c>
      <c r="P46" s="62">
        <f>Амортизация!Q169</f>
        <v>0</v>
      </c>
      <c r="Q46" s="62">
        <f>Амортизация!R169</f>
        <v>0</v>
      </c>
      <c r="R46" s="62">
        <f>Амортизация!S169</f>
        <v>0</v>
      </c>
      <c r="S46" s="52">
        <f t="shared" si="15"/>
        <v>0</v>
      </c>
      <c r="U46" s="58" t="s">
        <v>204</v>
      </c>
    </row>
    <row r="47" spans="2:24" ht="12.75" customHeight="1" x14ac:dyDescent="0.2">
      <c r="B47" s="28">
        <v>5</v>
      </c>
      <c r="C47" s="441" t="s">
        <v>205</v>
      </c>
      <c r="D47" s="443"/>
      <c r="E47" s="52" t="e">
        <f>SUM(E48,#REF!)</f>
        <v>#REF!</v>
      </c>
      <c r="F47" s="52">
        <f>SUM(F48,)</f>
        <v>0</v>
      </c>
      <c r="G47" s="52">
        <f t="shared" ref="G47:S47" si="17">SUM(G48,)</f>
        <v>0</v>
      </c>
      <c r="H47" s="52">
        <f t="shared" si="17"/>
        <v>0</v>
      </c>
      <c r="I47" s="52">
        <f t="shared" si="17"/>
        <v>0</v>
      </c>
      <c r="J47" s="52">
        <f t="shared" si="17"/>
        <v>0</v>
      </c>
      <c r="K47" s="52">
        <f t="shared" si="17"/>
        <v>0</v>
      </c>
      <c r="L47" s="52">
        <f t="shared" si="17"/>
        <v>0</v>
      </c>
      <c r="M47" s="52">
        <f t="shared" si="17"/>
        <v>0</v>
      </c>
      <c r="N47" s="52">
        <f t="shared" si="17"/>
        <v>0</v>
      </c>
      <c r="O47" s="52">
        <f t="shared" si="17"/>
        <v>0</v>
      </c>
      <c r="P47" s="52">
        <f t="shared" si="17"/>
        <v>0</v>
      </c>
      <c r="Q47" s="52">
        <f t="shared" si="17"/>
        <v>0</v>
      </c>
      <c r="R47" s="52">
        <f t="shared" si="17"/>
        <v>0</v>
      </c>
      <c r="S47" s="52">
        <f t="shared" si="17"/>
        <v>0</v>
      </c>
      <c r="T47" s="93">
        <f>'Перечень инв.проектов ГС'!AF21</f>
        <v>0</v>
      </c>
      <c r="U47" s="58" t="s">
        <v>206</v>
      </c>
    </row>
    <row r="48" spans="2:24" ht="25.5" customHeight="1" x14ac:dyDescent="0.2">
      <c r="B48" s="453" t="s">
        <v>125</v>
      </c>
      <c r="C48" s="456" t="s">
        <v>594</v>
      </c>
      <c r="D48" s="20" t="s">
        <v>195</v>
      </c>
      <c r="E48" s="52">
        <f>SUM(E49:E52)</f>
        <v>0</v>
      </c>
      <c r="F48" s="52">
        <f>SUM(F49:F52)</f>
        <v>0</v>
      </c>
      <c r="G48" s="52">
        <f>SUM(G49:G52)</f>
        <v>0</v>
      </c>
      <c r="H48" s="52">
        <f>SUM(H49:H52)</f>
        <v>0</v>
      </c>
      <c r="I48" s="52">
        <f>SUM(I49:I52)</f>
        <v>0</v>
      </c>
      <c r="J48" s="52">
        <f t="shared" ref="J48:R48" si="18">SUM(J49:J52)</f>
        <v>0</v>
      </c>
      <c r="K48" s="52">
        <f t="shared" si="18"/>
        <v>0</v>
      </c>
      <c r="L48" s="52">
        <f t="shared" si="18"/>
        <v>0</v>
      </c>
      <c r="M48" s="52">
        <f t="shared" si="18"/>
        <v>0</v>
      </c>
      <c r="N48" s="52">
        <f t="shared" si="18"/>
        <v>0</v>
      </c>
      <c r="O48" s="52">
        <f t="shared" si="18"/>
        <v>0</v>
      </c>
      <c r="P48" s="52">
        <f t="shared" si="18"/>
        <v>0</v>
      </c>
      <c r="Q48" s="52">
        <f t="shared" si="18"/>
        <v>0</v>
      </c>
      <c r="R48" s="52">
        <f t="shared" si="18"/>
        <v>0</v>
      </c>
      <c r="S48" s="52">
        <f t="shared" ref="S48:S52" si="19">SUM(E48:R48)</f>
        <v>0</v>
      </c>
      <c r="U48" s="58" t="s">
        <v>206</v>
      </c>
    </row>
    <row r="49" spans="2:21" ht="13.15" customHeight="1" x14ac:dyDescent="0.2">
      <c r="B49" s="454"/>
      <c r="C49" s="457"/>
      <c r="D49" s="65" t="s">
        <v>163</v>
      </c>
      <c r="E49" s="62">
        <f>SUMIFS('Перечень инв.проектов ГС'!M$4:M$351,'Перечень инв.проектов ГС'!$K$4:$K$351,$D49,'Перечень инв.проектов ГС'!$B$4:$B$351,$C$48)</f>
        <v>0</v>
      </c>
      <c r="F49" s="62">
        <f>SUMIFS('Перечень инв.проектов ГС'!N$4:N$351,'Перечень инв.проектов ГС'!$K$4:$K$351,$D49,'Перечень инв.проектов ГС'!$B$4:$B$351,$C$48)</f>
        <v>0</v>
      </c>
      <c r="G49" s="62">
        <f>SUMIFS('Перечень инв.проектов ГС'!O$4:O$351,'Перечень инв.проектов ГС'!$K$4:$K$351,$D49,'Перечень инв.проектов ГС'!$B$4:$B$351,$C$48)</f>
        <v>0</v>
      </c>
      <c r="H49" s="62">
        <f>SUMIFS('Перечень инв.проектов ГС'!P$4:P$351,'Перечень инв.проектов ГС'!$K$4:$K$351,$D49,'Перечень инв.проектов ГС'!$B$4:$B$351,$C$48)</f>
        <v>0</v>
      </c>
      <c r="I49" s="62">
        <f>SUMIFS('Перечень инв.проектов ГС'!Q$4:Q$351,'Перечень инв.проектов ГС'!$K$4:$K$351,$D49,'Перечень инв.проектов ГС'!$B$4:$B$351,$C$48)</f>
        <v>0</v>
      </c>
      <c r="J49" s="62">
        <f>SUMIFS('Перечень инв.проектов ГС'!R$4:R$351,'Перечень инв.проектов ГС'!$K$4:$K$351,$D49,'Перечень инв.проектов ГС'!$B$4:$B$351,$C$48)</f>
        <v>0</v>
      </c>
      <c r="K49" s="62">
        <f>SUMIFS('Перечень инв.проектов ГС'!S$4:S$351,'Перечень инв.проектов ГС'!$K$4:$K$351,$D49,'Перечень инв.проектов ГС'!$B$4:$B$351,$C$48)</f>
        <v>0</v>
      </c>
      <c r="L49" s="62">
        <f>SUMIFS('Перечень инв.проектов ГС'!T$4:T$351,'Перечень инв.проектов ГС'!$K$4:$K$351,$D49,'Перечень инв.проектов ГС'!$B$4:$B$351,$C$48)</f>
        <v>0</v>
      </c>
      <c r="M49" s="62">
        <f>SUMIFS('Перечень инв.проектов ГС'!U$4:U$351,'Перечень инв.проектов ГС'!$K$4:$K$351,$D49,'Перечень инв.проектов ГС'!$B$4:$B$351,$C$48)</f>
        <v>0</v>
      </c>
      <c r="N49" s="62">
        <f>SUMIFS('Перечень инв.проектов ГС'!V$4:V$351,'Перечень инв.проектов ГС'!$K$4:$K$351,$D49,'Перечень инв.проектов ГС'!$B$4:$B$351,$C$48)</f>
        <v>0</v>
      </c>
      <c r="O49" s="62">
        <f>SUMIFS('Перечень инв.проектов ГС'!W$4:W$351,'Перечень инв.проектов ГС'!$K$4:$K$351,$D49,'Перечень инв.проектов ГС'!$B$4:$B$351,$C$48)</f>
        <v>0</v>
      </c>
      <c r="P49" s="62">
        <f>SUMIFS('Перечень инв.проектов ГС'!X$4:X$351,'Перечень инв.проектов ГС'!$K$4:$K$351,$D49,'Перечень инв.проектов ГС'!$B$4:$B$351,$C$48)</f>
        <v>0</v>
      </c>
      <c r="Q49" s="62">
        <f>SUMIFS('Перечень инв.проектов ГС'!Y$4:Y$351,'Перечень инв.проектов ГС'!$K$4:$K$351,$D49,'Перечень инв.проектов ГС'!$B$4:$B$351,$C$48)</f>
        <v>0</v>
      </c>
      <c r="R49" s="62">
        <f>SUMIFS('Перечень инв.проектов ГС'!Z$4:Z$351,'Перечень инв.проектов ГС'!$K$4:$K$351,$D49,'Перечень инв.проектов ГС'!$B$4:$B$351,$C$48)</f>
        <v>0</v>
      </c>
      <c r="S49" s="52">
        <f t="shared" si="19"/>
        <v>0</v>
      </c>
      <c r="U49" s="58" t="s">
        <v>206</v>
      </c>
    </row>
    <row r="50" spans="2:21" ht="13.15" customHeight="1" x14ac:dyDescent="0.2">
      <c r="B50" s="454"/>
      <c r="C50" s="457"/>
      <c r="D50" s="66" t="s">
        <v>166</v>
      </c>
      <c r="E50" s="62">
        <f>SUMIFS('Перечень инв.проектов ГС'!M$4:M$351,'Перечень инв.проектов ГС'!$K$4:$K$351,$D50,'Перечень инв.проектов ГС'!$B$4:$B$351,$C$48)</f>
        <v>0</v>
      </c>
      <c r="F50" s="62">
        <f>SUMIFS('Перечень инв.проектов ГС'!N$4:N$351,'Перечень инв.проектов ГС'!$K$4:$K$351,$D50,'Перечень инв.проектов ГС'!$B$4:$B$351,$C$48)</f>
        <v>0</v>
      </c>
      <c r="G50" s="62">
        <f>SUMIFS('Перечень инв.проектов ГС'!O$4:O$351,'Перечень инв.проектов ГС'!$K$4:$K$351,$D50,'Перечень инв.проектов ГС'!$B$4:$B$351,$C$48)</f>
        <v>0</v>
      </c>
      <c r="H50" s="62">
        <f>SUMIFS('Перечень инв.проектов ГС'!P$4:P$351,'Перечень инв.проектов ГС'!$K$4:$K$351,$D50,'Перечень инв.проектов ГС'!$B$4:$B$351,$C$48)</f>
        <v>0</v>
      </c>
      <c r="I50" s="62">
        <f>SUMIFS('Перечень инв.проектов ГС'!Q$4:Q$351,'Перечень инв.проектов ГС'!$K$4:$K$351,$D50,'Перечень инв.проектов ГС'!$B$4:$B$351,$C$48)</f>
        <v>0</v>
      </c>
      <c r="J50" s="62">
        <f>SUMIFS('Перечень инв.проектов ГС'!R$4:R$351,'Перечень инв.проектов ГС'!$K$4:$K$351,$D50,'Перечень инв.проектов ГС'!$B$4:$B$351,$C$48)</f>
        <v>0</v>
      </c>
      <c r="K50" s="62">
        <f>SUMIFS('Перечень инв.проектов ГС'!S$4:S$351,'Перечень инв.проектов ГС'!$K$4:$K$351,$D50,'Перечень инв.проектов ГС'!$B$4:$B$351,$C$48)</f>
        <v>0</v>
      </c>
      <c r="L50" s="62">
        <f>SUMIFS('Перечень инв.проектов ГС'!T$4:T$351,'Перечень инв.проектов ГС'!$K$4:$K$351,$D50,'Перечень инв.проектов ГС'!$B$4:$B$351,$C$48)</f>
        <v>0</v>
      </c>
      <c r="M50" s="62">
        <f>SUMIFS('Перечень инв.проектов ГС'!U$4:U$351,'Перечень инв.проектов ГС'!$K$4:$K$351,$D50,'Перечень инв.проектов ГС'!$B$4:$B$351,$C$48)</f>
        <v>0</v>
      </c>
      <c r="N50" s="62">
        <f>SUMIFS('Перечень инв.проектов ГС'!V$4:V$351,'Перечень инв.проектов ГС'!$K$4:$K$351,$D50,'Перечень инв.проектов ГС'!$B$4:$B$351,$C$48)</f>
        <v>0</v>
      </c>
      <c r="O50" s="62">
        <f>SUMIFS('Перечень инв.проектов ГС'!W$4:W$351,'Перечень инв.проектов ГС'!$K$4:$K$351,$D50,'Перечень инв.проектов ГС'!$B$4:$B$351,$C$48)</f>
        <v>0</v>
      </c>
      <c r="P50" s="62">
        <f>SUMIFS('Перечень инв.проектов ГС'!X$4:X$351,'Перечень инв.проектов ГС'!$K$4:$K$351,$D50,'Перечень инв.проектов ГС'!$B$4:$B$351,$C$48)</f>
        <v>0</v>
      </c>
      <c r="Q50" s="62">
        <f>SUMIFS('Перечень инв.проектов ГС'!Y$4:Y$351,'Перечень инв.проектов ГС'!$K$4:$K$351,$D50,'Перечень инв.проектов ГС'!$B$4:$B$351,$C$48)</f>
        <v>0</v>
      </c>
      <c r="R50" s="62">
        <f>SUMIFS('Перечень инв.проектов ГС'!Z$4:Z$351,'Перечень инв.проектов ГС'!$K$4:$K$351,$D50,'Перечень инв.проектов ГС'!$B$4:$B$351,$C$48)</f>
        <v>0</v>
      </c>
      <c r="S50" s="52">
        <f t="shared" si="19"/>
        <v>0</v>
      </c>
      <c r="U50" s="58" t="s">
        <v>206</v>
      </c>
    </row>
    <row r="51" spans="2:21" ht="13.15" customHeight="1" x14ac:dyDescent="0.2">
      <c r="B51" s="454"/>
      <c r="C51" s="457"/>
      <c r="D51" s="66" t="s">
        <v>155</v>
      </c>
      <c r="E51" s="62">
        <f>SUMIFS('Перечень инв.проектов ГС'!M$4:M$351,'Перечень инв.проектов ГС'!$K$4:$K$351,$D51,'Перечень инв.проектов ГС'!$B$4:$B$351,$C$48)</f>
        <v>0</v>
      </c>
      <c r="F51" s="62">
        <f>SUMIFS('Перечень инв.проектов ГС'!N$4:N$351,'Перечень инв.проектов ГС'!$K$4:$K$351,$D51,'Перечень инв.проектов ГС'!$B$4:$B$351,$C$48)</f>
        <v>0</v>
      </c>
      <c r="G51" s="62">
        <f>SUMIFS('Перечень инв.проектов ГС'!O$4:O$351,'Перечень инв.проектов ГС'!$K$4:$K$351,$D51,'Перечень инв.проектов ГС'!$B$4:$B$351,$C$48)</f>
        <v>0</v>
      </c>
      <c r="H51" s="62">
        <f>SUMIFS('Перечень инв.проектов ГС'!P$4:P$351,'Перечень инв.проектов ГС'!$K$4:$K$351,$D51,'Перечень инв.проектов ГС'!$B$4:$B$351,$C$48)</f>
        <v>0</v>
      </c>
      <c r="I51" s="62">
        <f>SUMIFS('Перечень инв.проектов ГС'!Q$4:Q$351,'Перечень инв.проектов ГС'!$K$4:$K$351,$D51,'Перечень инв.проектов ГС'!$B$4:$B$351,$C$48)</f>
        <v>0</v>
      </c>
      <c r="J51" s="62">
        <f>SUMIFS('Перечень инв.проектов ГС'!R$4:R$351,'Перечень инв.проектов ГС'!$K$4:$K$351,$D51,'Перечень инв.проектов ГС'!$B$4:$B$351,$C$48)</f>
        <v>0</v>
      </c>
      <c r="K51" s="62">
        <f>SUMIFS('Перечень инв.проектов ГС'!S$4:S$351,'Перечень инв.проектов ГС'!$K$4:$K$351,$D51,'Перечень инв.проектов ГС'!$B$4:$B$351,$C$48)</f>
        <v>0</v>
      </c>
      <c r="L51" s="62">
        <f>SUMIFS('Перечень инв.проектов ГС'!T$4:T$351,'Перечень инв.проектов ГС'!$K$4:$K$351,$D51,'Перечень инв.проектов ГС'!$B$4:$B$351,$C$48)</f>
        <v>0</v>
      </c>
      <c r="M51" s="62">
        <f>SUMIFS('Перечень инв.проектов ГС'!U$4:U$351,'Перечень инв.проектов ГС'!$K$4:$K$351,$D51,'Перечень инв.проектов ГС'!$B$4:$B$351,$C$48)</f>
        <v>0</v>
      </c>
      <c r="N51" s="62">
        <f>SUMIFS('Перечень инв.проектов ГС'!V$4:V$351,'Перечень инв.проектов ГС'!$K$4:$K$351,$D51,'Перечень инв.проектов ГС'!$B$4:$B$351,$C$48)</f>
        <v>0</v>
      </c>
      <c r="O51" s="62">
        <f>SUMIFS('Перечень инв.проектов ГС'!W$4:W$351,'Перечень инв.проектов ГС'!$K$4:$K$351,$D51,'Перечень инв.проектов ГС'!$B$4:$B$351,$C$48)</f>
        <v>0</v>
      </c>
      <c r="P51" s="62">
        <f>SUMIFS('Перечень инв.проектов ГС'!X$4:X$351,'Перечень инв.проектов ГС'!$K$4:$K$351,$D51,'Перечень инв.проектов ГС'!$B$4:$B$351,$C$48)</f>
        <v>0</v>
      </c>
      <c r="Q51" s="62">
        <f>SUMIFS('Перечень инв.проектов ГС'!Y$4:Y$351,'Перечень инв.проектов ГС'!$K$4:$K$351,$D51,'Перечень инв.проектов ГС'!$B$4:$B$351,$C$48)</f>
        <v>0</v>
      </c>
      <c r="R51" s="62">
        <f>SUMIFS('Перечень инв.проектов ГС'!Z$4:Z$351,'Перечень инв.проектов ГС'!$K$4:$K$351,$D51,'Перечень инв.проектов ГС'!$B$4:$B$351,$C$48)</f>
        <v>0</v>
      </c>
      <c r="S51" s="52">
        <f t="shared" si="19"/>
        <v>0</v>
      </c>
      <c r="U51" s="58" t="s">
        <v>206</v>
      </c>
    </row>
    <row r="52" spans="2:21" ht="13.15" customHeight="1" x14ac:dyDescent="0.2">
      <c r="B52" s="454"/>
      <c r="C52" s="457"/>
      <c r="D52" s="66" t="s">
        <v>310</v>
      </c>
      <c r="E52" s="62">
        <f>SUMIFS('Перечень инв.проектов ГС'!M$4:M$351,'Перечень инв.проектов ГС'!$K$4:$K$351,$D52,'Перечень инв.проектов ГС'!$B$4:$B$351,$C$48)</f>
        <v>0</v>
      </c>
      <c r="F52" s="62">
        <f>SUMIFS('Перечень инв.проектов ГС'!N$4:N$351,'Перечень инв.проектов ГС'!$K$4:$K$351,$D52,'Перечень инв.проектов ГС'!$B$4:$B$351,$C$48)</f>
        <v>0</v>
      </c>
      <c r="G52" s="62">
        <f>SUMIFS('Перечень инв.проектов ГС'!O$4:O$351,'Перечень инв.проектов ГС'!$K$4:$K$351,$D52,'Перечень инв.проектов ГС'!$B$4:$B$351,$C$48)</f>
        <v>0</v>
      </c>
      <c r="H52" s="62">
        <f>SUMIFS('Перечень инв.проектов ГС'!P$4:P$351,'Перечень инв.проектов ГС'!$K$4:$K$351,$D52,'Перечень инв.проектов ГС'!$B$4:$B$351,$C$48)</f>
        <v>0</v>
      </c>
      <c r="I52" s="62">
        <f>SUMIFS('Перечень инв.проектов ГС'!Q$4:Q$351,'Перечень инв.проектов ГС'!$K$4:$K$351,$D52,'Перечень инв.проектов ГС'!$B$4:$B$351,$C$48)</f>
        <v>0</v>
      </c>
      <c r="J52" s="62">
        <f>SUMIFS('Перечень инв.проектов ГС'!R$4:R$351,'Перечень инв.проектов ГС'!$K$4:$K$351,$D52,'Перечень инв.проектов ГС'!$B$4:$B$351,$C$48)</f>
        <v>0</v>
      </c>
      <c r="K52" s="62">
        <f>SUMIFS('Перечень инв.проектов ГС'!S$4:S$351,'Перечень инв.проектов ГС'!$K$4:$K$351,$D52,'Перечень инв.проектов ГС'!$B$4:$B$351,$C$48)</f>
        <v>0</v>
      </c>
      <c r="L52" s="62">
        <f>SUMIFS('Перечень инв.проектов ГС'!T$4:T$351,'Перечень инв.проектов ГС'!$K$4:$K$351,$D52,'Перечень инв.проектов ГС'!$B$4:$B$351,$C$48)</f>
        <v>0</v>
      </c>
      <c r="M52" s="62">
        <f>SUMIFS('Перечень инв.проектов ГС'!U$4:U$351,'Перечень инв.проектов ГС'!$K$4:$K$351,$D52,'Перечень инв.проектов ГС'!$B$4:$B$351,$C$48)</f>
        <v>0</v>
      </c>
      <c r="N52" s="62">
        <f>SUMIFS('Перечень инв.проектов ГС'!V$4:V$351,'Перечень инв.проектов ГС'!$K$4:$K$351,$D52,'Перечень инв.проектов ГС'!$B$4:$B$351,$C$48)</f>
        <v>0</v>
      </c>
      <c r="O52" s="62">
        <f>SUMIFS('Перечень инв.проектов ГС'!W$4:W$351,'Перечень инв.проектов ГС'!$K$4:$K$351,$D52,'Перечень инв.проектов ГС'!$B$4:$B$351,$C$48)</f>
        <v>0</v>
      </c>
      <c r="P52" s="62">
        <f>SUMIFS('Перечень инв.проектов ГС'!X$4:X$351,'Перечень инв.проектов ГС'!$K$4:$K$351,$D52,'Перечень инв.проектов ГС'!$B$4:$B$351,$C$48)</f>
        <v>0</v>
      </c>
      <c r="Q52" s="62">
        <f>SUMIFS('Перечень инв.проектов ГС'!Y$4:Y$351,'Перечень инв.проектов ГС'!$K$4:$K$351,$D52,'Перечень инв.проектов ГС'!$B$4:$B$351,$C$48)</f>
        <v>0</v>
      </c>
      <c r="R52" s="62">
        <f>SUMIFS('Перечень инв.проектов ГС'!Z$4:Z$351,'Перечень инв.проектов ГС'!$K$4:$K$351,$D52,'Перечень инв.проектов ГС'!$B$4:$B$351,$C$48)</f>
        <v>0</v>
      </c>
      <c r="S52" s="52">
        <f t="shared" si="19"/>
        <v>0</v>
      </c>
      <c r="U52" s="58" t="s">
        <v>206</v>
      </c>
    </row>
    <row r="53" spans="2:21" ht="25.9" customHeight="1" x14ac:dyDescent="0.2">
      <c r="B53" s="454"/>
      <c r="C53" s="457"/>
      <c r="D53" s="20" t="s">
        <v>196</v>
      </c>
      <c r="E53" s="52">
        <f>E55-E54</f>
        <v>0</v>
      </c>
      <c r="F53" s="52">
        <f>F55-F54</f>
        <v>0</v>
      </c>
      <c r="G53" s="52">
        <f>G55-G54</f>
        <v>0</v>
      </c>
      <c r="H53" s="52">
        <f>H55-H54</f>
        <v>0</v>
      </c>
      <c r="I53" s="52">
        <f>I55-I54</f>
        <v>0</v>
      </c>
      <c r="J53" s="52">
        <f t="shared" ref="J53:R53" si="20">J55-J54</f>
        <v>0</v>
      </c>
      <c r="K53" s="52">
        <f t="shared" si="20"/>
        <v>0</v>
      </c>
      <c r="L53" s="52">
        <f t="shared" si="20"/>
        <v>0</v>
      </c>
      <c r="M53" s="52">
        <f t="shared" si="20"/>
        <v>0</v>
      </c>
      <c r="N53" s="52">
        <f t="shared" si="20"/>
        <v>0</v>
      </c>
      <c r="O53" s="52">
        <f t="shared" si="20"/>
        <v>0</v>
      </c>
      <c r="P53" s="52">
        <f t="shared" si="20"/>
        <v>0</v>
      </c>
      <c r="Q53" s="52">
        <f t="shared" si="20"/>
        <v>0</v>
      </c>
      <c r="R53" s="52">
        <f t="shared" si="20"/>
        <v>0</v>
      </c>
      <c r="S53" s="52"/>
      <c r="U53" s="58" t="s">
        <v>206</v>
      </c>
    </row>
    <row r="54" spans="2:21" ht="39" customHeight="1" x14ac:dyDescent="0.2">
      <c r="B54" s="454"/>
      <c r="C54" s="457"/>
      <c r="D54" s="10" t="s">
        <v>197</v>
      </c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52"/>
      <c r="U54" s="58" t="s">
        <v>206</v>
      </c>
    </row>
    <row r="55" spans="2:21" ht="39" customHeight="1" x14ac:dyDescent="0.2">
      <c r="B55" s="455"/>
      <c r="C55" s="458"/>
      <c r="D55" s="10" t="s">
        <v>198</v>
      </c>
      <c r="E55" s="6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52"/>
      <c r="U55" s="58" t="s">
        <v>206</v>
      </c>
    </row>
    <row r="56" spans="2:21" ht="12.75" customHeight="1" x14ac:dyDescent="0.2">
      <c r="B56" s="29">
        <v>6</v>
      </c>
      <c r="C56" s="441" t="s">
        <v>207</v>
      </c>
      <c r="D56" s="443"/>
      <c r="E56" s="52" t="e">
        <f>SUM(E57)</f>
        <v>#REF!</v>
      </c>
      <c r="F56" s="52">
        <f>SUM(F57)</f>
        <v>0</v>
      </c>
      <c r="G56" s="52">
        <f>SUM(G57)</f>
        <v>72200</v>
      </c>
      <c r="H56" s="52">
        <f>SUM(H57)</f>
        <v>0</v>
      </c>
      <c r="I56" s="52">
        <f>SUM(I57)</f>
        <v>0</v>
      </c>
      <c r="J56" s="52">
        <f t="shared" ref="J56:R56" si="21">SUM(J57)</f>
        <v>0</v>
      </c>
      <c r="K56" s="52">
        <f t="shared" si="21"/>
        <v>0</v>
      </c>
      <c r="L56" s="52">
        <f t="shared" si="21"/>
        <v>0</v>
      </c>
      <c r="M56" s="52">
        <f t="shared" si="21"/>
        <v>0</v>
      </c>
      <c r="N56" s="52">
        <f t="shared" si="21"/>
        <v>0</v>
      </c>
      <c r="O56" s="52">
        <f t="shared" si="21"/>
        <v>0</v>
      </c>
      <c r="P56" s="52">
        <f t="shared" si="21"/>
        <v>0</v>
      </c>
      <c r="Q56" s="52">
        <f t="shared" si="21"/>
        <v>0</v>
      </c>
      <c r="R56" s="52">
        <f t="shared" si="21"/>
        <v>0</v>
      </c>
      <c r="S56" s="52">
        <f>SUM(F56:R56)</f>
        <v>72200</v>
      </c>
      <c r="T56" s="93">
        <f>'Перечень инв.проектов ТКО'!Z5</f>
        <v>72200</v>
      </c>
      <c r="U56" s="58" t="s">
        <v>208</v>
      </c>
    </row>
    <row r="57" spans="2:21" ht="25.9" customHeight="1" x14ac:dyDescent="0.2">
      <c r="B57" s="465" t="s">
        <v>134</v>
      </c>
      <c r="C57" s="456" t="s">
        <v>1034</v>
      </c>
      <c r="D57" s="20" t="s">
        <v>195</v>
      </c>
      <c r="E57" s="52" t="e">
        <f>SUM(E58:E61)</f>
        <v>#REF!</v>
      </c>
      <c r="F57" s="52">
        <f>SUM(F58:F61)</f>
        <v>0</v>
      </c>
      <c r="G57" s="52">
        <f>SUM(G58:G61)</f>
        <v>72200</v>
      </c>
      <c r="H57" s="52">
        <f>SUM(H58:H61)</f>
        <v>0</v>
      </c>
      <c r="I57" s="52">
        <f>SUM(I58:I61)</f>
        <v>0</v>
      </c>
      <c r="J57" s="52">
        <f t="shared" ref="J57:R57" si="22">SUM(J58:J61)</f>
        <v>0</v>
      </c>
      <c r="K57" s="52">
        <f t="shared" si="22"/>
        <v>0</v>
      </c>
      <c r="L57" s="52">
        <f t="shared" si="22"/>
        <v>0</v>
      </c>
      <c r="M57" s="52">
        <f t="shared" si="22"/>
        <v>0</v>
      </c>
      <c r="N57" s="52">
        <f t="shared" si="22"/>
        <v>0</v>
      </c>
      <c r="O57" s="52">
        <f t="shared" si="22"/>
        <v>0</v>
      </c>
      <c r="P57" s="52">
        <f t="shared" si="22"/>
        <v>0</v>
      </c>
      <c r="Q57" s="52">
        <f t="shared" si="22"/>
        <v>0</v>
      </c>
      <c r="R57" s="52">
        <f t="shared" si="22"/>
        <v>0</v>
      </c>
      <c r="S57" s="52">
        <f t="shared" ref="S57:S61" si="23">SUM(F57:R57)</f>
        <v>72200</v>
      </c>
      <c r="U57" s="58" t="s">
        <v>208</v>
      </c>
    </row>
    <row r="58" spans="2:21" ht="13.15" customHeight="1" x14ac:dyDescent="0.2">
      <c r="B58" s="466"/>
      <c r="C58" s="457"/>
      <c r="D58" s="65" t="s">
        <v>163</v>
      </c>
      <c r="E58" s="62" t="e">
        <f>SUMIFS('Перечень инв.проектов ТКО'!#REF!,'Перечень инв.проектов ТКО'!$K$4:$K$340,$D58,'Перечень инв.проектов ТКО'!$B$4:$B$340,$C$57)</f>
        <v>#REF!</v>
      </c>
      <c r="F58" s="62">
        <f>SUMIFS('Перечень инв.проектов ТКО'!M$4:M$340,'Перечень инв.проектов ТКО'!$K$4:$K$340,$D58,'Перечень инв.проектов ТКО'!$B$4:$B$340,$C$57)</f>
        <v>0</v>
      </c>
      <c r="G58" s="62">
        <f>SUMIFS('Перечень инв.проектов ТКО'!N$4:N$340,'Перечень инв.проектов ТКО'!$K$4:$K$340,$D58,'Перечень инв.проектов ТКО'!$B$4:$B$340,$C$57)</f>
        <v>72200</v>
      </c>
      <c r="H58" s="62">
        <f>SUMIFS('Перечень инв.проектов ТКО'!O$4:O$340,'Перечень инв.проектов ТКО'!$K$4:$K$340,$D58,'Перечень инв.проектов ТКО'!$B$4:$B$340,$C$57)</f>
        <v>0</v>
      </c>
      <c r="I58" s="62">
        <f>SUMIFS('Перечень инв.проектов ТКО'!P$4:P$340,'Перечень инв.проектов ТКО'!$K$4:$K$340,$D58,'Перечень инв.проектов ТКО'!$B$4:$B$340,$C$57)</f>
        <v>0</v>
      </c>
      <c r="J58" s="62">
        <f>SUMIFS('Перечень инв.проектов ТКО'!Q$4:Q$340,'Перечень инв.проектов ТКО'!$K$4:$K$340,$D58,'Перечень инв.проектов ТКО'!$B$4:$B$340,$C$57)</f>
        <v>0</v>
      </c>
      <c r="K58" s="62">
        <f>SUMIFS('Перечень инв.проектов ТКО'!R$4:R$340,'Перечень инв.проектов ТКО'!$K$4:$K$340,$D58,'Перечень инв.проектов ТКО'!$B$4:$B$340,$C$57)</f>
        <v>0</v>
      </c>
      <c r="L58" s="62">
        <f>SUMIFS('Перечень инв.проектов ТКО'!S$4:S$340,'Перечень инв.проектов ТКО'!$K$4:$K$340,$D58,'Перечень инв.проектов ТКО'!$B$4:$B$340,$C$57)</f>
        <v>0</v>
      </c>
      <c r="M58" s="62">
        <f>SUMIFS('Перечень инв.проектов ТКО'!T$4:T$340,'Перечень инв.проектов ТКО'!$K$4:$K$340,$D58,'Перечень инв.проектов ТКО'!$B$4:$B$340,$C$57)</f>
        <v>0</v>
      </c>
      <c r="N58" s="62">
        <f>SUMIFS('Перечень инв.проектов ТКО'!U$4:U$340,'Перечень инв.проектов ТКО'!$K$4:$K$340,$D58,'Перечень инв.проектов ТКО'!$B$4:$B$340,$C$57)</f>
        <v>0</v>
      </c>
      <c r="O58" s="62">
        <f>SUMIFS('Перечень инв.проектов ТКО'!V$4:V$340,'Перечень инв.проектов ТКО'!$K$4:$K$340,$D58,'Перечень инв.проектов ТКО'!$B$4:$B$340,$C$57)</f>
        <v>0</v>
      </c>
      <c r="P58" s="62">
        <f>SUMIFS('Перечень инв.проектов ТКО'!W$4:W$340,'Перечень инв.проектов ТКО'!$K$4:$K$340,$D58,'Перечень инв.проектов ТКО'!$B$4:$B$340,$C$57)</f>
        <v>0</v>
      </c>
      <c r="Q58" s="62">
        <f>SUMIFS('Перечень инв.проектов ТКО'!X$4:X$340,'Перечень инв.проектов ТКО'!$K$4:$K$340,$D58,'Перечень инв.проектов ТКО'!$B$4:$B$340,$C$57)</f>
        <v>0</v>
      </c>
      <c r="R58" s="62">
        <f>SUMIFS('Перечень инв.проектов ТКО'!Y$4:Y$340,'Перечень инв.проектов ТКО'!$K$4:$K$340,$D58,'Перечень инв.проектов ТКО'!$B$4:$B$340,$C$57)</f>
        <v>0</v>
      </c>
      <c r="S58" s="52">
        <f t="shared" si="23"/>
        <v>72200</v>
      </c>
      <c r="U58" s="58" t="s">
        <v>208</v>
      </c>
    </row>
    <row r="59" spans="2:21" ht="13.15" customHeight="1" x14ac:dyDescent="0.2">
      <c r="B59" s="466"/>
      <c r="C59" s="457"/>
      <c r="D59" s="66" t="s">
        <v>166</v>
      </c>
      <c r="E59" s="62" t="e">
        <f>SUMIFS('Перечень инв.проектов ТКО'!#REF!,'Перечень инв.проектов ТКО'!$K$4:$K$340,$D59,'Перечень инв.проектов ТКО'!$B$4:$B$340,$C$57)</f>
        <v>#REF!</v>
      </c>
      <c r="F59" s="62">
        <f>SUMIFS('Перечень инв.проектов ТКО'!M$4:M$340,'Перечень инв.проектов ТКО'!$K$4:$K$340,$D59,'Перечень инв.проектов ТКО'!$B$4:$B$340,$C$57)</f>
        <v>0</v>
      </c>
      <c r="G59" s="62">
        <f>SUMIFS('Перечень инв.проектов ТКО'!N$4:N$340,'Перечень инв.проектов ТКО'!$K$4:$K$340,$D59,'Перечень инв.проектов ТКО'!$B$4:$B$340,$C$57)</f>
        <v>0</v>
      </c>
      <c r="H59" s="62">
        <f>SUMIFS('Перечень инв.проектов ТКО'!O$4:O$340,'Перечень инв.проектов ТКО'!$K$4:$K$340,$D59,'Перечень инв.проектов ТКО'!$B$4:$B$340,$C$57)</f>
        <v>0</v>
      </c>
      <c r="I59" s="62">
        <f>SUMIFS('Перечень инв.проектов ТКО'!P$4:P$340,'Перечень инв.проектов ТКО'!$K$4:$K$340,$D59,'Перечень инв.проектов ТКО'!$B$4:$B$340,$C$57)</f>
        <v>0</v>
      </c>
      <c r="J59" s="62">
        <f>SUMIFS('Перечень инв.проектов ТКО'!Q$4:Q$340,'Перечень инв.проектов ТКО'!$K$4:$K$340,$D59,'Перечень инв.проектов ТКО'!$B$4:$B$340,$C$57)</f>
        <v>0</v>
      </c>
      <c r="K59" s="62">
        <f>SUMIFS('Перечень инв.проектов ТКО'!R$4:R$340,'Перечень инв.проектов ТКО'!$K$4:$K$340,$D59,'Перечень инв.проектов ТКО'!$B$4:$B$340,$C$57)</f>
        <v>0</v>
      </c>
      <c r="L59" s="62">
        <f>SUMIFS('Перечень инв.проектов ТКО'!S$4:S$340,'Перечень инв.проектов ТКО'!$K$4:$K$340,$D59,'Перечень инв.проектов ТКО'!$B$4:$B$340,$C$57)</f>
        <v>0</v>
      </c>
      <c r="M59" s="62">
        <f>SUMIFS('Перечень инв.проектов ТКО'!T$4:T$340,'Перечень инв.проектов ТКО'!$K$4:$K$340,$D59,'Перечень инв.проектов ТКО'!$B$4:$B$340,$C$57)</f>
        <v>0</v>
      </c>
      <c r="N59" s="62">
        <f>SUMIFS('Перечень инв.проектов ТКО'!U$4:U$340,'Перечень инв.проектов ТКО'!$K$4:$K$340,$D59,'Перечень инв.проектов ТКО'!$B$4:$B$340,$C$57)</f>
        <v>0</v>
      </c>
      <c r="O59" s="62">
        <f>SUMIFS('Перечень инв.проектов ТКО'!V$4:V$340,'Перечень инв.проектов ТКО'!$K$4:$K$340,$D59,'Перечень инв.проектов ТКО'!$B$4:$B$340,$C$57)</f>
        <v>0</v>
      </c>
      <c r="P59" s="62">
        <f>SUMIFS('Перечень инв.проектов ТКО'!W$4:W$340,'Перечень инв.проектов ТКО'!$K$4:$K$340,$D59,'Перечень инв.проектов ТКО'!$B$4:$B$340,$C$57)</f>
        <v>0</v>
      </c>
      <c r="Q59" s="62">
        <f>SUMIFS('Перечень инв.проектов ТКО'!X$4:X$340,'Перечень инв.проектов ТКО'!$K$4:$K$340,$D59,'Перечень инв.проектов ТКО'!$B$4:$B$340,$C$57)</f>
        <v>0</v>
      </c>
      <c r="R59" s="62">
        <f>SUMIFS('Перечень инв.проектов ТКО'!Y$4:Y$340,'Перечень инв.проектов ТКО'!$K$4:$K$340,$D59,'Перечень инв.проектов ТКО'!$B$4:$B$340,$C$57)</f>
        <v>0</v>
      </c>
      <c r="S59" s="52">
        <f t="shared" si="23"/>
        <v>0</v>
      </c>
      <c r="U59" s="58" t="s">
        <v>208</v>
      </c>
    </row>
    <row r="60" spans="2:21" ht="13.15" customHeight="1" x14ac:dyDescent="0.2">
      <c r="B60" s="466"/>
      <c r="C60" s="457"/>
      <c r="D60" s="66" t="s">
        <v>155</v>
      </c>
      <c r="E60" s="62" t="e">
        <f>SUMIFS('Перечень инв.проектов ТКО'!#REF!,'Перечень инв.проектов ТКО'!$K$4:$K$340,$D60,'Перечень инв.проектов ТКО'!$B$4:$B$340,$C$57)</f>
        <v>#REF!</v>
      </c>
      <c r="F60" s="62">
        <f>SUMIFS('Перечень инв.проектов ТКО'!M$4:M$340,'Перечень инв.проектов ТКО'!$K$4:$K$340,$D60,'Перечень инв.проектов ТКО'!$B$4:$B$340,$C$57)</f>
        <v>0</v>
      </c>
      <c r="G60" s="62">
        <f>SUMIFS('Перечень инв.проектов ТКО'!N$4:N$340,'Перечень инв.проектов ТКО'!$K$4:$K$340,$D60,'Перечень инв.проектов ТКО'!$B$4:$B$340,$C$57)</f>
        <v>0</v>
      </c>
      <c r="H60" s="62">
        <f>SUMIFS('Перечень инв.проектов ТКО'!O$4:O$340,'Перечень инв.проектов ТКО'!$K$4:$K$340,$D60,'Перечень инв.проектов ТКО'!$B$4:$B$340,$C$57)</f>
        <v>0</v>
      </c>
      <c r="I60" s="62">
        <f>SUMIFS('Перечень инв.проектов ТКО'!P$4:P$340,'Перечень инв.проектов ТКО'!$K$4:$K$340,$D60,'Перечень инв.проектов ТКО'!$B$4:$B$340,$C$57)</f>
        <v>0</v>
      </c>
      <c r="J60" s="62">
        <f>SUMIFS('Перечень инв.проектов ТКО'!Q$4:Q$340,'Перечень инв.проектов ТКО'!$K$4:$K$340,$D60,'Перечень инв.проектов ТКО'!$B$4:$B$340,$C$57)</f>
        <v>0</v>
      </c>
      <c r="K60" s="62">
        <f>SUMIFS('Перечень инв.проектов ТКО'!R$4:R$340,'Перечень инв.проектов ТКО'!$K$4:$K$340,$D60,'Перечень инв.проектов ТКО'!$B$4:$B$340,$C$57)</f>
        <v>0</v>
      </c>
      <c r="L60" s="62">
        <f>SUMIFS('Перечень инв.проектов ТКО'!S$4:S$340,'Перечень инв.проектов ТКО'!$K$4:$K$340,$D60,'Перечень инв.проектов ТКО'!$B$4:$B$340,$C$57)</f>
        <v>0</v>
      </c>
      <c r="M60" s="62">
        <f>SUMIFS('Перечень инв.проектов ТКО'!T$4:T$340,'Перечень инв.проектов ТКО'!$K$4:$K$340,$D60,'Перечень инв.проектов ТКО'!$B$4:$B$340,$C$57)</f>
        <v>0</v>
      </c>
      <c r="N60" s="62">
        <f>SUMIFS('Перечень инв.проектов ТКО'!U$4:U$340,'Перечень инв.проектов ТКО'!$K$4:$K$340,$D60,'Перечень инв.проектов ТКО'!$B$4:$B$340,$C$57)</f>
        <v>0</v>
      </c>
      <c r="O60" s="62">
        <f>SUMIFS('Перечень инв.проектов ТКО'!V$4:V$340,'Перечень инв.проектов ТКО'!$K$4:$K$340,$D60,'Перечень инв.проектов ТКО'!$B$4:$B$340,$C$57)</f>
        <v>0</v>
      </c>
      <c r="P60" s="62">
        <f>SUMIFS('Перечень инв.проектов ТКО'!W$4:W$340,'Перечень инв.проектов ТКО'!$K$4:$K$340,$D60,'Перечень инв.проектов ТКО'!$B$4:$B$340,$C$57)</f>
        <v>0</v>
      </c>
      <c r="Q60" s="62">
        <f>SUMIFS('Перечень инв.проектов ТКО'!X$4:X$340,'Перечень инв.проектов ТКО'!$K$4:$K$340,$D60,'Перечень инв.проектов ТКО'!$B$4:$B$340,$C$57)</f>
        <v>0</v>
      </c>
      <c r="R60" s="62">
        <f>SUMIFS('Перечень инв.проектов ТКО'!Y$4:Y$340,'Перечень инв.проектов ТКО'!$K$4:$K$340,$D60,'Перечень инв.проектов ТКО'!$B$4:$B$340,$C$57)</f>
        <v>0</v>
      </c>
      <c r="S60" s="52">
        <f t="shared" si="23"/>
        <v>0</v>
      </c>
      <c r="U60" s="58" t="s">
        <v>208</v>
      </c>
    </row>
    <row r="61" spans="2:21" ht="13.15" customHeight="1" x14ac:dyDescent="0.2">
      <c r="B61" s="466"/>
      <c r="C61" s="457"/>
      <c r="D61" s="66" t="s">
        <v>310</v>
      </c>
      <c r="E61" s="62" t="e">
        <f>SUMIFS('Перечень инв.проектов ТКО'!#REF!,'Перечень инв.проектов ТКО'!$K$4:$K$340,$D61,'Перечень инв.проектов ТКО'!$B$4:$B$340,$C$57)</f>
        <v>#REF!</v>
      </c>
      <c r="F61" s="62">
        <f>SUMIFS('Перечень инв.проектов ТКО'!M$4:M$340,'Перечень инв.проектов ТКО'!$K$4:$K$340,$D61,'Перечень инв.проектов ТКО'!$B$4:$B$340,$C$57)</f>
        <v>0</v>
      </c>
      <c r="G61" s="62">
        <f>SUMIFS('Перечень инв.проектов ТКО'!N$4:N$340,'Перечень инв.проектов ТКО'!$K$4:$K$340,$D61,'Перечень инв.проектов ТКО'!$B$4:$B$340,$C$57)</f>
        <v>0</v>
      </c>
      <c r="H61" s="62">
        <f>SUMIFS('Перечень инв.проектов ТКО'!O$4:O$340,'Перечень инв.проектов ТКО'!$K$4:$K$340,$D61,'Перечень инв.проектов ТКО'!$B$4:$B$340,$C$57)</f>
        <v>0</v>
      </c>
      <c r="I61" s="62">
        <f>SUMIFS('Перечень инв.проектов ТКО'!P$4:P$340,'Перечень инв.проектов ТКО'!$K$4:$K$340,$D61,'Перечень инв.проектов ТКО'!$B$4:$B$340,$C$57)</f>
        <v>0</v>
      </c>
      <c r="J61" s="62">
        <f>SUMIFS('Перечень инв.проектов ТКО'!Q$4:Q$340,'Перечень инв.проектов ТКО'!$K$4:$K$340,$D61,'Перечень инв.проектов ТКО'!$B$4:$B$340,$C$57)</f>
        <v>0</v>
      </c>
      <c r="K61" s="62">
        <f>SUMIFS('Перечень инв.проектов ТКО'!R$4:R$340,'Перечень инв.проектов ТКО'!$K$4:$K$340,$D61,'Перечень инв.проектов ТКО'!$B$4:$B$340,$C$57)</f>
        <v>0</v>
      </c>
      <c r="L61" s="62">
        <f>SUMIFS('Перечень инв.проектов ТКО'!S$4:S$340,'Перечень инв.проектов ТКО'!$K$4:$K$340,$D61,'Перечень инв.проектов ТКО'!$B$4:$B$340,$C$57)</f>
        <v>0</v>
      </c>
      <c r="M61" s="62">
        <f>SUMIFS('Перечень инв.проектов ТКО'!T$4:T$340,'Перечень инв.проектов ТКО'!$K$4:$K$340,$D61,'Перечень инв.проектов ТКО'!$B$4:$B$340,$C$57)</f>
        <v>0</v>
      </c>
      <c r="N61" s="62">
        <f>SUMIFS('Перечень инв.проектов ТКО'!U$4:U$340,'Перечень инв.проектов ТКО'!$K$4:$K$340,$D61,'Перечень инв.проектов ТКО'!$B$4:$B$340,$C$57)</f>
        <v>0</v>
      </c>
      <c r="O61" s="62">
        <f>SUMIFS('Перечень инв.проектов ТКО'!V$4:V$340,'Перечень инв.проектов ТКО'!$K$4:$K$340,$D61,'Перечень инв.проектов ТКО'!$B$4:$B$340,$C$57)</f>
        <v>0</v>
      </c>
      <c r="P61" s="62">
        <f>SUMIFS('Перечень инв.проектов ТКО'!W$4:W$340,'Перечень инв.проектов ТКО'!$K$4:$K$340,$D61,'Перечень инв.проектов ТКО'!$B$4:$B$340,$C$57)</f>
        <v>0</v>
      </c>
      <c r="Q61" s="62">
        <f>SUMIFS('Перечень инв.проектов ТКО'!X$4:X$340,'Перечень инв.проектов ТКО'!$K$4:$K$340,$D61,'Перечень инв.проектов ТКО'!$B$4:$B$340,$C$57)</f>
        <v>0</v>
      </c>
      <c r="R61" s="62">
        <f>SUMIFS('Перечень инв.проектов ТКО'!Y$4:Y$340,'Перечень инв.проектов ТКО'!$K$4:$K$340,$D61,'Перечень инв.проектов ТКО'!$B$4:$B$340,$C$57)</f>
        <v>0</v>
      </c>
      <c r="S61" s="52">
        <f t="shared" si="23"/>
        <v>0</v>
      </c>
      <c r="U61" s="58" t="s">
        <v>208</v>
      </c>
    </row>
    <row r="62" spans="2:21" ht="25.9" customHeight="1" x14ac:dyDescent="0.2">
      <c r="B62" s="466"/>
      <c r="C62" s="457"/>
      <c r="D62" s="20" t="s">
        <v>196</v>
      </c>
      <c r="E62" s="52">
        <f>E64-E63</f>
        <v>0</v>
      </c>
      <c r="F62" s="52">
        <f>F64-F63</f>
        <v>0</v>
      </c>
      <c r="G62" s="52">
        <f>G64-G63</f>
        <v>2888</v>
      </c>
      <c r="H62" s="52">
        <f>H64-H63</f>
        <v>2888</v>
      </c>
      <c r="I62" s="52">
        <f>I64-I63</f>
        <v>2888</v>
      </c>
      <c r="J62" s="52">
        <f t="shared" ref="J62:R62" si="24">J64-J63</f>
        <v>2888</v>
      </c>
      <c r="K62" s="52">
        <f t="shared" si="24"/>
        <v>2888</v>
      </c>
      <c r="L62" s="52">
        <f t="shared" si="24"/>
        <v>2888</v>
      </c>
      <c r="M62" s="52">
        <f t="shared" si="24"/>
        <v>2888</v>
      </c>
      <c r="N62" s="52">
        <f t="shared" si="24"/>
        <v>2888</v>
      </c>
      <c r="O62" s="52">
        <f t="shared" si="24"/>
        <v>2888</v>
      </c>
      <c r="P62" s="52">
        <f t="shared" si="24"/>
        <v>2888</v>
      </c>
      <c r="Q62" s="52">
        <f t="shared" si="24"/>
        <v>2888</v>
      </c>
      <c r="R62" s="52">
        <f t="shared" si="24"/>
        <v>2888</v>
      </c>
      <c r="S62" s="52"/>
      <c r="U62" s="58" t="s">
        <v>208</v>
      </c>
    </row>
    <row r="63" spans="2:21" ht="39" customHeight="1" x14ac:dyDescent="0.2">
      <c r="B63" s="466"/>
      <c r="C63" s="457"/>
      <c r="D63" s="10" t="s">
        <v>197</v>
      </c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52"/>
      <c r="U63" s="58" t="s">
        <v>208</v>
      </c>
    </row>
    <row r="64" spans="2:21" ht="39" customHeight="1" x14ac:dyDescent="0.2">
      <c r="B64" s="467"/>
      <c r="C64" s="458"/>
      <c r="D64" s="10" t="s">
        <v>198</v>
      </c>
      <c r="E64" s="62">
        <v>0</v>
      </c>
      <c r="F64" s="64">
        <f>Амортизация!G207</f>
        <v>0</v>
      </c>
      <c r="G64" s="64">
        <f>Амортизация!H207</f>
        <v>2888</v>
      </c>
      <c r="H64" s="64">
        <f>Амортизация!I207</f>
        <v>2888</v>
      </c>
      <c r="I64" s="64">
        <f>Амортизация!J207</f>
        <v>2888</v>
      </c>
      <c r="J64" s="64">
        <f>Амортизация!K207</f>
        <v>2888</v>
      </c>
      <c r="K64" s="64">
        <f>Амортизация!L207</f>
        <v>2888</v>
      </c>
      <c r="L64" s="64">
        <f>Амортизация!M207</f>
        <v>2888</v>
      </c>
      <c r="M64" s="64">
        <f>Амортизация!N207</f>
        <v>2888</v>
      </c>
      <c r="N64" s="64">
        <f>Амортизация!O207</f>
        <v>2888</v>
      </c>
      <c r="O64" s="64">
        <f>Амортизация!P207</f>
        <v>2888</v>
      </c>
      <c r="P64" s="64">
        <f>Амортизация!Q207</f>
        <v>2888</v>
      </c>
      <c r="Q64" s="64">
        <f>Амортизация!R207</f>
        <v>2888</v>
      </c>
      <c r="R64" s="64">
        <f>Амортизация!S207</f>
        <v>2888</v>
      </c>
      <c r="S64" s="52"/>
      <c r="U64" s="58" t="s">
        <v>208</v>
      </c>
    </row>
    <row r="68" spans="1:20" ht="12.75" customHeight="1" x14ac:dyDescent="0.2">
      <c r="A68" s="451" t="s">
        <v>209</v>
      </c>
      <c r="C68" s="459" t="s">
        <v>210</v>
      </c>
      <c r="D68" s="459" t="s">
        <v>114</v>
      </c>
      <c r="E68" s="441" t="s">
        <v>211</v>
      </c>
      <c r="F68" s="442"/>
      <c r="G68" s="442"/>
      <c r="H68" s="442"/>
      <c r="I68" s="442"/>
      <c r="J68" s="442"/>
      <c r="K68" s="442"/>
      <c r="L68" s="442"/>
      <c r="M68" s="442"/>
      <c r="N68" s="442"/>
      <c r="O68" s="442"/>
      <c r="P68" s="442"/>
      <c r="Q68" s="442"/>
      <c r="R68" s="442"/>
      <c r="S68" s="443"/>
    </row>
    <row r="69" spans="1:20" x14ac:dyDescent="0.2">
      <c r="A69" s="452"/>
      <c r="C69" s="461"/>
      <c r="D69" s="461"/>
      <c r="E69" s="25">
        <v>2022</v>
      </c>
      <c r="F69" s="25">
        <v>2023</v>
      </c>
      <c r="G69" s="25">
        <v>2024</v>
      </c>
      <c r="H69" s="25">
        <v>2025</v>
      </c>
      <c r="I69" s="25">
        <v>2026</v>
      </c>
      <c r="J69" s="25">
        <v>2027</v>
      </c>
      <c r="K69" s="25">
        <v>2028</v>
      </c>
      <c r="L69" s="25">
        <v>2029</v>
      </c>
      <c r="M69" s="25">
        <v>2030</v>
      </c>
      <c r="N69" s="25">
        <v>2031</v>
      </c>
      <c r="O69" s="25">
        <v>2032</v>
      </c>
      <c r="P69" s="25">
        <v>2033</v>
      </c>
      <c r="Q69" s="25">
        <v>2034</v>
      </c>
      <c r="R69" s="25">
        <v>2035</v>
      </c>
      <c r="S69" s="25" t="s">
        <v>192</v>
      </c>
    </row>
    <row r="70" spans="1:20" ht="25.5" x14ac:dyDescent="0.2">
      <c r="A70" s="58" t="s">
        <v>194</v>
      </c>
      <c r="C70" s="462" t="s">
        <v>193</v>
      </c>
      <c r="D70" s="9" t="s">
        <v>195</v>
      </c>
      <c r="E70" s="67">
        <f t="shared" ref="E70:H70" si="25">SUM(E71:E74)</f>
        <v>0</v>
      </c>
      <c r="F70" s="67">
        <f t="shared" si="25"/>
        <v>27477.4</v>
      </c>
      <c r="G70" s="67">
        <f t="shared" si="25"/>
        <v>126792.01471157232</v>
      </c>
      <c r="H70" s="67">
        <f t="shared" si="25"/>
        <v>1157566.7082873862</v>
      </c>
      <c r="I70" s="67">
        <f>SUM(I71:I74)</f>
        <v>1103202.5203942945</v>
      </c>
      <c r="J70" s="67">
        <f t="shared" ref="J70:R70" si="26">SUM(J71:J74)</f>
        <v>770695.05314069986</v>
      </c>
      <c r="K70" s="67">
        <f t="shared" si="26"/>
        <v>446120</v>
      </c>
      <c r="L70" s="67">
        <f t="shared" si="26"/>
        <v>449980.30346604728</v>
      </c>
      <c r="M70" s="67">
        <f t="shared" si="26"/>
        <v>0</v>
      </c>
      <c r="N70" s="67">
        <f t="shared" si="26"/>
        <v>0</v>
      </c>
      <c r="O70" s="67">
        <f t="shared" si="26"/>
        <v>0</v>
      </c>
      <c r="P70" s="67">
        <f t="shared" si="26"/>
        <v>0</v>
      </c>
      <c r="Q70" s="67">
        <f t="shared" si="26"/>
        <v>0</v>
      </c>
      <c r="R70" s="67">
        <f t="shared" si="26"/>
        <v>0</v>
      </c>
      <c r="S70" s="67">
        <f>SUM(S71:S74)</f>
        <v>4081834</v>
      </c>
      <c r="T70" s="37">
        <f>S70/$S$100</f>
        <v>0.42569563546353684</v>
      </c>
    </row>
    <row r="71" spans="1:20" x14ac:dyDescent="0.2">
      <c r="A71" s="58" t="s">
        <v>194</v>
      </c>
      <c r="C71" s="463"/>
      <c r="D71" s="10" t="s">
        <v>163</v>
      </c>
      <c r="E71" s="63">
        <f t="shared" ref="E71:R74" si="27">SUMIFS(E$3:E$64,$D$3:$D$64,$D71,$U$3:$U$64,$A71)</f>
        <v>0</v>
      </c>
      <c r="F71" s="63">
        <f t="shared" si="27"/>
        <v>27477.4</v>
      </c>
      <c r="G71" s="63">
        <f t="shared" si="27"/>
        <v>123960</v>
      </c>
      <c r="H71" s="63">
        <f t="shared" si="27"/>
        <v>1157566.7082873862</v>
      </c>
      <c r="I71" s="63">
        <f t="shared" si="27"/>
        <v>1103202.5203942945</v>
      </c>
      <c r="J71" s="63">
        <f t="shared" si="27"/>
        <v>770695.05314069986</v>
      </c>
      <c r="K71" s="63">
        <f t="shared" si="27"/>
        <v>446120</v>
      </c>
      <c r="L71" s="63">
        <f t="shared" si="27"/>
        <v>449980.30346604728</v>
      </c>
      <c r="M71" s="63">
        <f t="shared" si="27"/>
        <v>0</v>
      </c>
      <c r="N71" s="63">
        <f t="shared" si="27"/>
        <v>0</v>
      </c>
      <c r="O71" s="63">
        <f t="shared" si="27"/>
        <v>0</v>
      </c>
      <c r="P71" s="63">
        <f t="shared" si="27"/>
        <v>0</v>
      </c>
      <c r="Q71" s="63">
        <f t="shared" si="27"/>
        <v>0</v>
      </c>
      <c r="R71" s="63">
        <f t="shared" si="27"/>
        <v>0</v>
      </c>
      <c r="S71" s="68">
        <f t="shared" ref="S71:S74" si="28">SUM(E71:R71)</f>
        <v>4079001.9852884277</v>
      </c>
    </row>
    <row r="72" spans="1:20" ht="25.5" x14ac:dyDescent="0.2">
      <c r="A72" s="58" t="s">
        <v>194</v>
      </c>
      <c r="C72" s="463"/>
      <c r="D72" s="16" t="s">
        <v>166</v>
      </c>
      <c r="E72" s="63">
        <f t="shared" si="27"/>
        <v>0</v>
      </c>
      <c r="F72" s="63">
        <f t="shared" si="27"/>
        <v>0</v>
      </c>
      <c r="G72" s="63">
        <f t="shared" si="27"/>
        <v>0</v>
      </c>
      <c r="H72" s="63">
        <f t="shared" si="27"/>
        <v>0</v>
      </c>
      <c r="I72" s="63">
        <f t="shared" si="27"/>
        <v>0</v>
      </c>
      <c r="J72" s="63">
        <f t="shared" si="27"/>
        <v>0</v>
      </c>
      <c r="K72" s="63">
        <f t="shared" si="27"/>
        <v>0</v>
      </c>
      <c r="L72" s="63">
        <f t="shared" si="27"/>
        <v>0</v>
      </c>
      <c r="M72" s="63">
        <f t="shared" si="27"/>
        <v>0</v>
      </c>
      <c r="N72" s="63">
        <f t="shared" si="27"/>
        <v>0</v>
      </c>
      <c r="O72" s="63">
        <f t="shared" si="27"/>
        <v>0</v>
      </c>
      <c r="P72" s="63">
        <f t="shared" si="27"/>
        <v>0</v>
      </c>
      <c r="Q72" s="63">
        <f t="shared" si="27"/>
        <v>0</v>
      </c>
      <c r="R72" s="63">
        <f t="shared" si="27"/>
        <v>0</v>
      </c>
      <c r="S72" s="68">
        <f t="shared" si="28"/>
        <v>0</v>
      </c>
    </row>
    <row r="73" spans="1:20" x14ac:dyDescent="0.2">
      <c r="A73" s="58" t="s">
        <v>194</v>
      </c>
      <c r="C73" s="463"/>
      <c r="D73" s="16" t="s">
        <v>155</v>
      </c>
      <c r="E73" s="63">
        <f t="shared" si="27"/>
        <v>0</v>
      </c>
      <c r="F73" s="63">
        <f t="shared" si="27"/>
        <v>0</v>
      </c>
      <c r="G73" s="63">
        <f t="shared" si="27"/>
        <v>0</v>
      </c>
      <c r="H73" s="63">
        <f t="shared" si="27"/>
        <v>0</v>
      </c>
      <c r="I73" s="63">
        <f t="shared" si="27"/>
        <v>0</v>
      </c>
      <c r="J73" s="63">
        <f t="shared" si="27"/>
        <v>0</v>
      </c>
      <c r="K73" s="63">
        <f t="shared" si="27"/>
        <v>0</v>
      </c>
      <c r="L73" s="63">
        <f t="shared" si="27"/>
        <v>0</v>
      </c>
      <c r="M73" s="63">
        <f t="shared" si="27"/>
        <v>0</v>
      </c>
      <c r="N73" s="63">
        <f t="shared" si="27"/>
        <v>0</v>
      </c>
      <c r="O73" s="63">
        <f t="shared" si="27"/>
        <v>0</v>
      </c>
      <c r="P73" s="63">
        <f t="shared" si="27"/>
        <v>0</v>
      </c>
      <c r="Q73" s="63">
        <f t="shared" si="27"/>
        <v>0</v>
      </c>
      <c r="R73" s="63">
        <f t="shared" si="27"/>
        <v>0</v>
      </c>
      <c r="S73" s="68">
        <f t="shared" si="28"/>
        <v>0</v>
      </c>
    </row>
    <row r="74" spans="1:20" x14ac:dyDescent="0.2">
      <c r="A74" s="58" t="s">
        <v>194</v>
      </c>
      <c r="C74" s="464"/>
      <c r="D74" s="16" t="s">
        <v>310</v>
      </c>
      <c r="E74" s="63">
        <f t="shared" si="27"/>
        <v>0</v>
      </c>
      <c r="F74" s="63">
        <f t="shared" si="27"/>
        <v>0</v>
      </c>
      <c r="G74" s="63">
        <f t="shared" si="27"/>
        <v>2832.0147115723285</v>
      </c>
      <c r="H74" s="63">
        <f t="shared" si="27"/>
        <v>0</v>
      </c>
      <c r="I74" s="63">
        <f t="shared" si="27"/>
        <v>0</v>
      </c>
      <c r="J74" s="63">
        <f t="shared" si="27"/>
        <v>0</v>
      </c>
      <c r="K74" s="63">
        <f t="shared" si="27"/>
        <v>0</v>
      </c>
      <c r="L74" s="63">
        <f t="shared" si="27"/>
        <v>0</v>
      </c>
      <c r="M74" s="63">
        <f t="shared" si="27"/>
        <v>0</v>
      </c>
      <c r="N74" s="63">
        <f t="shared" si="27"/>
        <v>0</v>
      </c>
      <c r="O74" s="63">
        <f t="shared" si="27"/>
        <v>0</v>
      </c>
      <c r="P74" s="63">
        <f t="shared" si="27"/>
        <v>0</v>
      </c>
      <c r="Q74" s="63">
        <f t="shared" si="27"/>
        <v>0</v>
      </c>
      <c r="R74" s="63">
        <f t="shared" si="27"/>
        <v>0</v>
      </c>
      <c r="S74" s="68">
        <f t="shared" si="28"/>
        <v>2832.0147115723285</v>
      </c>
    </row>
    <row r="75" spans="1:20" ht="25.5" x14ac:dyDescent="0.2">
      <c r="A75" s="58" t="s">
        <v>200</v>
      </c>
      <c r="C75" s="462" t="s">
        <v>199</v>
      </c>
      <c r="D75" s="9" t="s">
        <v>195</v>
      </c>
      <c r="E75" s="67" t="e">
        <f>SUM(E76:E79)</f>
        <v>#REF!</v>
      </c>
      <c r="F75" s="67">
        <f>SUM(F76:F79)</f>
        <v>47711</v>
      </c>
      <c r="G75" s="67">
        <f>SUM(G76:G79)</f>
        <v>312059.91615478887</v>
      </c>
      <c r="H75" s="67">
        <f>SUM(H76:H79)</f>
        <v>348624.68468579603</v>
      </c>
      <c r="I75" s="67">
        <f>SUM(I76:I79)</f>
        <v>304659.95329480909</v>
      </c>
      <c r="J75" s="67">
        <f t="shared" ref="J75:R75" si="29">SUM(J76:J79)</f>
        <v>104423.65764849125</v>
      </c>
      <c r="K75" s="67">
        <f t="shared" si="29"/>
        <v>107444.7928483049</v>
      </c>
      <c r="L75" s="67">
        <f t="shared" si="29"/>
        <v>111742.58456223711</v>
      </c>
      <c r="M75" s="67">
        <f t="shared" si="29"/>
        <v>116212.2879447266</v>
      </c>
      <c r="N75" s="67">
        <f t="shared" si="29"/>
        <v>63637.330331459983</v>
      </c>
      <c r="O75" s="67">
        <f t="shared" si="29"/>
        <v>62609.562091815897</v>
      </c>
      <c r="P75" s="67">
        <f t="shared" si="29"/>
        <v>65113.944575488531</v>
      </c>
      <c r="Q75" s="67">
        <f t="shared" si="29"/>
        <v>67718.502358508078</v>
      </c>
      <c r="R75" s="67">
        <f t="shared" si="29"/>
        <v>70427.242452848397</v>
      </c>
      <c r="S75" s="68">
        <f>SUM(F75:R75)</f>
        <v>1782385.4589492748</v>
      </c>
      <c r="T75" s="37">
        <f>S75/$S$100</f>
        <v>0.18588548936296265</v>
      </c>
    </row>
    <row r="76" spans="1:20" x14ac:dyDescent="0.2">
      <c r="A76" s="58" t="s">
        <v>200</v>
      </c>
      <c r="C76" s="463"/>
      <c r="D76" s="10" t="s">
        <v>163</v>
      </c>
      <c r="E76" s="63" t="e">
        <f t="shared" ref="E76:R79" si="30">SUMIFS(E$3:E$64,$D$3:$D$64,$D76,$U$3:$U$64,$A76)</f>
        <v>#REF!</v>
      </c>
      <c r="F76" s="63">
        <f t="shared" si="30"/>
        <v>47711</v>
      </c>
      <c r="G76" s="63">
        <f t="shared" si="30"/>
        <v>150000</v>
      </c>
      <c r="H76" s="63">
        <f t="shared" si="30"/>
        <v>232000</v>
      </c>
      <c r="I76" s="63">
        <f t="shared" si="30"/>
        <v>201068.6123392437</v>
      </c>
      <c r="J76" s="63">
        <f t="shared" si="30"/>
        <v>1111.3568328134511</v>
      </c>
      <c r="K76" s="63">
        <f t="shared" si="30"/>
        <v>0</v>
      </c>
      <c r="L76" s="63">
        <f t="shared" si="30"/>
        <v>0</v>
      </c>
      <c r="M76" s="63">
        <f t="shared" si="30"/>
        <v>0</v>
      </c>
      <c r="N76" s="63">
        <f t="shared" si="30"/>
        <v>0</v>
      </c>
      <c r="O76" s="63">
        <f t="shared" si="30"/>
        <v>0</v>
      </c>
      <c r="P76" s="63">
        <f t="shared" si="30"/>
        <v>0</v>
      </c>
      <c r="Q76" s="63">
        <f t="shared" si="30"/>
        <v>0</v>
      </c>
      <c r="R76" s="63">
        <f t="shared" si="30"/>
        <v>0</v>
      </c>
      <c r="S76" s="68">
        <f t="shared" ref="S76:S89" si="31">SUM(F76:R76)</f>
        <v>631890.96917205723</v>
      </c>
    </row>
    <row r="77" spans="1:20" ht="25.5" x14ac:dyDescent="0.2">
      <c r="A77" s="58" t="s">
        <v>200</v>
      </c>
      <c r="C77" s="463"/>
      <c r="D77" s="16" t="s">
        <v>166</v>
      </c>
      <c r="E77" s="63" t="e">
        <f t="shared" si="30"/>
        <v>#REF!</v>
      </c>
      <c r="F77" s="63">
        <f t="shared" si="30"/>
        <v>0</v>
      </c>
      <c r="G77" s="63">
        <f t="shared" si="30"/>
        <v>0</v>
      </c>
      <c r="H77" s="63">
        <f t="shared" si="30"/>
        <v>0</v>
      </c>
      <c r="I77" s="63">
        <f t="shared" si="30"/>
        <v>0</v>
      </c>
      <c r="J77" s="63">
        <f t="shared" si="30"/>
        <v>0</v>
      </c>
      <c r="K77" s="63">
        <f t="shared" si="30"/>
        <v>0</v>
      </c>
      <c r="L77" s="63">
        <f t="shared" si="30"/>
        <v>0</v>
      </c>
      <c r="M77" s="63">
        <f t="shared" si="30"/>
        <v>0</v>
      </c>
      <c r="N77" s="63">
        <f t="shared" si="30"/>
        <v>0</v>
      </c>
      <c r="O77" s="63">
        <f t="shared" si="30"/>
        <v>0</v>
      </c>
      <c r="P77" s="63">
        <f t="shared" si="30"/>
        <v>0</v>
      </c>
      <c r="Q77" s="63">
        <f t="shared" si="30"/>
        <v>0</v>
      </c>
      <c r="R77" s="63">
        <f t="shared" si="30"/>
        <v>0</v>
      </c>
      <c r="S77" s="68">
        <f t="shared" si="31"/>
        <v>0</v>
      </c>
    </row>
    <row r="78" spans="1:20" x14ac:dyDescent="0.2">
      <c r="A78" s="58" t="s">
        <v>200</v>
      </c>
      <c r="C78" s="463"/>
      <c r="D78" s="16" t="s">
        <v>155</v>
      </c>
      <c r="E78" s="63" t="e">
        <f t="shared" si="30"/>
        <v>#REF!</v>
      </c>
      <c r="F78" s="63">
        <f t="shared" si="30"/>
        <v>0</v>
      </c>
      <c r="G78" s="63">
        <f t="shared" si="30"/>
        <v>0</v>
      </c>
      <c r="H78" s="63">
        <f t="shared" si="30"/>
        <v>0</v>
      </c>
      <c r="I78" s="63">
        <f t="shared" si="30"/>
        <v>0</v>
      </c>
      <c r="J78" s="63">
        <f t="shared" si="30"/>
        <v>0</v>
      </c>
      <c r="K78" s="63">
        <f t="shared" si="30"/>
        <v>0</v>
      </c>
      <c r="L78" s="63">
        <f t="shared" si="30"/>
        <v>0</v>
      </c>
      <c r="M78" s="63">
        <f t="shared" si="30"/>
        <v>0</v>
      </c>
      <c r="N78" s="63">
        <f t="shared" si="30"/>
        <v>0</v>
      </c>
      <c r="O78" s="63">
        <f t="shared" si="30"/>
        <v>0</v>
      </c>
      <c r="P78" s="63">
        <f t="shared" si="30"/>
        <v>0</v>
      </c>
      <c r="Q78" s="63">
        <f t="shared" si="30"/>
        <v>0</v>
      </c>
      <c r="R78" s="63">
        <f t="shared" si="30"/>
        <v>0</v>
      </c>
      <c r="S78" s="68">
        <f t="shared" si="31"/>
        <v>0</v>
      </c>
    </row>
    <row r="79" spans="1:20" x14ac:dyDescent="0.2">
      <c r="A79" s="58" t="s">
        <v>200</v>
      </c>
      <c r="C79" s="464"/>
      <c r="D79" s="16" t="s">
        <v>310</v>
      </c>
      <c r="E79" s="63" t="e">
        <f t="shared" si="30"/>
        <v>#REF!</v>
      </c>
      <c r="F79" s="63">
        <f t="shared" si="30"/>
        <v>0</v>
      </c>
      <c r="G79" s="63">
        <f t="shared" si="30"/>
        <v>162059.91615478887</v>
      </c>
      <c r="H79" s="63">
        <f t="shared" si="30"/>
        <v>116624.68468579603</v>
      </c>
      <c r="I79" s="63">
        <f t="shared" si="30"/>
        <v>103591.34095556536</v>
      </c>
      <c r="J79" s="63">
        <f t="shared" si="30"/>
        <v>103312.30081567779</v>
      </c>
      <c r="K79" s="63">
        <f t="shared" si="30"/>
        <v>107444.7928483049</v>
      </c>
      <c r="L79" s="63">
        <f t="shared" si="30"/>
        <v>111742.58456223711</v>
      </c>
      <c r="M79" s="63">
        <f t="shared" si="30"/>
        <v>116212.2879447266</v>
      </c>
      <c r="N79" s="63">
        <f t="shared" si="30"/>
        <v>63637.330331459983</v>
      </c>
      <c r="O79" s="63">
        <f t="shared" si="30"/>
        <v>62609.562091815897</v>
      </c>
      <c r="P79" s="63">
        <f t="shared" si="30"/>
        <v>65113.944575488531</v>
      </c>
      <c r="Q79" s="63">
        <f t="shared" si="30"/>
        <v>67718.502358508078</v>
      </c>
      <c r="R79" s="63">
        <f t="shared" si="30"/>
        <v>70427.242452848397</v>
      </c>
      <c r="S79" s="68">
        <f t="shared" si="31"/>
        <v>1150494.4897772179</v>
      </c>
    </row>
    <row r="80" spans="1:20" ht="25.5" x14ac:dyDescent="0.2">
      <c r="A80" s="58" t="s">
        <v>202</v>
      </c>
      <c r="C80" s="462" t="s">
        <v>201</v>
      </c>
      <c r="D80" s="9" t="s">
        <v>195</v>
      </c>
      <c r="E80" s="67" t="e">
        <f>SUM(E81:E84)</f>
        <v>#REF!</v>
      </c>
      <c r="F80" s="67">
        <f>SUM(F81:F84)</f>
        <v>50000</v>
      </c>
      <c r="G80" s="67">
        <f>SUM(G81:G84)</f>
        <v>241484.43601065717</v>
      </c>
      <c r="H80" s="67">
        <f>SUM(H81:H84)</f>
        <v>819973.14006745815</v>
      </c>
      <c r="I80" s="67">
        <f>SUM(I81:I84)</f>
        <v>152292.65567015641</v>
      </c>
      <c r="J80" s="67">
        <f t="shared" ref="J80:R80" si="32">SUM(J81:J84)</f>
        <v>96935.222696962664</v>
      </c>
      <c r="K80" s="67">
        <f t="shared" si="32"/>
        <v>187707.50261808082</v>
      </c>
      <c r="L80" s="67">
        <f t="shared" si="32"/>
        <v>200311.02232280403</v>
      </c>
      <c r="M80" s="67">
        <f t="shared" si="32"/>
        <v>208323.46521571622</v>
      </c>
      <c r="N80" s="67">
        <f t="shared" si="32"/>
        <v>219683.65462434484</v>
      </c>
      <c r="O80" s="67">
        <f t="shared" si="32"/>
        <v>228471.00720931863</v>
      </c>
      <c r="P80" s="67">
        <f t="shared" si="32"/>
        <v>307856.90444806498</v>
      </c>
      <c r="Q80" s="67">
        <f t="shared" si="32"/>
        <v>311627.05979319819</v>
      </c>
      <c r="R80" s="67">
        <f t="shared" si="32"/>
        <v>248112.91031028208</v>
      </c>
      <c r="S80" s="68">
        <f t="shared" si="31"/>
        <v>3272778.9809870441</v>
      </c>
      <c r="T80" s="37">
        <f>S80/$S$100</f>
        <v>0.34131905610149416</v>
      </c>
    </row>
    <row r="81" spans="1:20" x14ac:dyDescent="0.2">
      <c r="A81" s="58" t="s">
        <v>202</v>
      </c>
      <c r="C81" s="463"/>
      <c r="D81" s="10" t="s">
        <v>163</v>
      </c>
      <c r="E81" s="63" t="e">
        <f t="shared" ref="E81:R84" si="33">SUMIFS(E$3:E$64,$D$3:$D$64,$D81,$U$3:$U$64,$A81)</f>
        <v>#REF!</v>
      </c>
      <c r="F81" s="63">
        <f t="shared" si="33"/>
        <v>50000</v>
      </c>
      <c r="G81" s="63">
        <f t="shared" si="33"/>
        <v>173000</v>
      </c>
      <c r="H81" s="63">
        <f t="shared" si="33"/>
        <v>738014.3</v>
      </c>
      <c r="I81" s="63">
        <f t="shared" si="33"/>
        <v>68867.459999999992</v>
      </c>
      <c r="J81" s="63">
        <f t="shared" si="33"/>
        <v>0</v>
      </c>
      <c r="K81" s="63">
        <f t="shared" si="33"/>
        <v>103950.18501323962</v>
      </c>
      <c r="L81" s="63">
        <f t="shared" si="33"/>
        <v>108108.18961376921</v>
      </c>
      <c r="M81" s="63">
        <f t="shared" si="33"/>
        <v>112432.52199831998</v>
      </c>
      <c r="N81" s="63">
        <f t="shared" si="33"/>
        <v>116929.82007825276</v>
      </c>
      <c r="O81" s="63">
        <f t="shared" si="33"/>
        <v>121607.01728138288</v>
      </c>
      <c r="P81" s="63">
        <f t="shared" si="33"/>
        <v>196718.36612301177</v>
      </c>
      <c r="Q81" s="63">
        <f t="shared" si="33"/>
        <v>204587.09396793225</v>
      </c>
      <c r="R81" s="63">
        <f t="shared" si="33"/>
        <v>136791.35345200548</v>
      </c>
      <c r="S81" s="68">
        <f t="shared" si="31"/>
        <v>2131006.3075279142</v>
      </c>
    </row>
    <row r="82" spans="1:20" ht="25.5" x14ac:dyDescent="0.2">
      <c r="A82" s="58" t="s">
        <v>202</v>
      </c>
      <c r="C82" s="463"/>
      <c r="D82" s="16" t="s">
        <v>166</v>
      </c>
      <c r="E82" s="63" t="e">
        <f t="shared" si="33"/>
        <v>#REF!</v>
      </c>
      <c r="F82" s="63">
        <f t="shared" si="33"/>
        <v>0</v>
      </c>
      <c r="G82" s="63">
        <f t="shared" si="33"/>
        <v>0</v>
      </c>
      <c r="H82" s="63">
        <f t="shared" si="33"/>
        <v>0</v>
      </c>
      <c r="I82" s="63">
        <f t="shared" si="33"/>
        <v>0</v>
      </c>
      <c r="J82" s="63">
        <f t="shared" si="33"/>
        <v>0</v>
      </c>
      <c r="K82" s="63">
        <f t="shared" si="33"/>
        <v>0</v>
      </c>
      <c r="L82" s="63">
        <f t="shared" si="33"/>
        <v>0</v>
      </c>
      <c r="M82" s="63">
        <f t="shared" si="33"/>
        <v>0</v>
      </c>
      <c r="N82" s="63">
        <f t="shared" si="33"/>
        <v>0</v>
      </c>
      <c r="O82" s="63">
        <f t="shared" si="33"/>
        <v>0</v>
      </c>
      <c r="P82" s="63">
        <f t="shared" si="33"/>
        <v>0</v>
      </c>
      <c r="Q82" s="63">
        <f t="shared" si="33"/>
        <v>0</v>
      </c>
      <c r="R82" s="63">
        <f t="shared" si="33"/>
        <v>0</v>
      </c>
      <c r="S82" s="68">
        <f t="shared" si="31"/>
        <v>0</v>
      </c>
    </row>
    <row r="83" spans="1:20" x14ac:dyDescent="0.2">
      <c r="A83" s="58" t="s">
        <v>202</v>
      </c>
      <c r="C83" s="463"/>
      <c r="D83" s="16" t="s">
        <v>155</v>
      </c>
      <c r="E83" s="63" t="e">
        <f t="shared" si="33"/>
        <v>#REF!</v>
      </c>
      <c r="F83" s="63">
        <f t="shared" si="33"/>
        <v>0</v>
      </c>
      <c r="G83" s="63">
        <f t="shared" si="33"/>
        <v>0</v>
      </c>
      <c r="H83" s="63">
        <f t="shared" si="33"/>
        <v>0</v>
      </c>
      <c r="I83" s="63">
        <f t="shared" si="33"/>
        <v>0</v>
      </c>
      <c r="J83" s="63">
        <f t="shared" si="33"/>
        <v>0</v>
      </c>
      <c r="K83" s="63">
        <f t="shared" si="33"/>
        <v>0</v>
      </c>
      <c r="L83" s="63">
        <f t="shared" si="33"/>
        <v>0</v>
      </c>
      <c r="M83" s="63">
        <f t="shared" si="33"/>
        <v>0</v>
      </c>
      <c r="N83" s="63">
        <f t="shared" si="33"/>
        <v>0</v>
      </c>
      <c r="O83" s="63">
        <f t="shared" si="33"/>
        <v>0</v>
      </c>
      <c r="P83" s="63">
        <f t="shared" si="33"/>
        <v>0</v>
      </c>
      <c r="Q83" s="63">
        <f t="shared" si="33"/>
        <v>0</v>
      </c>
      <c r="R83" s="63">
        <f t="shared" si="33"/>
        <v>0</v>
      </c>
      <c r="S83" s="68">
        <f t="shared" si="31"/>
        <v>0</v>
      </c>
    </row>
    <row r="84" spans="1:20" x14ac:dyDescent="0.2">
      <c r="A84" s="58" t="s">
        <v>202</v>
      </c>
      <c r="C84" s="464"/>
      <c r="D84" s="16" t="s">
        <v>310</v>
      </c>
      <c r="E84" s="63" t="e">
        <f t="shared" si="33"/>
        <v>#REF!</v>
      </c>
      <c r="F84" s="63">
        <f t="shared" si="33"/>
        <v>0</v>
      </c>
      <c r="G84" s="63">
        <f t="shared" si="33"/>
        <v>68484.436010657155</v>
      </c>
      <c r="H84" s="63">
        <f t="shared" si="33"/>
        <v>81958.840067458106</v>
      </c>
      <c r="I84" s="63">
        <f t="shared" si="33"/>
        <v>83425.195670156434</v>
      </c>
      <c r="J84" s="63">
        <f t="shared" si="33"/>
        <v>96935.222696962664</v>
      </c>
      <c r="K84" s="63">
        <f t="shared" si="33"/>
        <v>83757.317604841184</v>
      </c>
      <c r="L84" s="63">
        <f t="shared" si="33"/>
        <v>92202.832709034832</v>
      </c>
      <c r="M84" s="63">
        <f t="shared" si="33"/>
        <v>95890.943217396241</v>
      </c>
      <c r="N84" s="63">
        <f t="shared" si="33"/>
        <v>102753.83454609208</v>
      </c>
      <c r="O84" s="63">
        <f t="shared" si="33"/>
        <v>106863.98992793576</v>
      </c>
      <c r="P84" s="63">
        <f t="shared" si="33"/>
        <v>111138.53832505319</v>
      </c>
      <c r="Q84" s="63">
        <f t="shared" si="33"/>
        <v>107039.96582526596</v>
      </c>
      <c r="R84" s="63">
        <f t="shared" si="33"/>
        <v>111321.55685827658</v>
      </c>
      <c r="S84" s="68">
        <f t="shared" si="31"/>
        <v>1141772.6734591301</v>
      </c>
    </row>
    <row r="85" spans="1:20" ht="25.5" x14ac:dyDescent="0.2">
      <c r="A85" s="58" t="s">
        <v>204</v>
      </c>
      <c r="C85" s="462" t="s">
        <v>203</v>
      </c>
      <c r="D85" s="9" t="s">
        <v>195</v>
      </c>
      <c r="E85" s="67">
        <f>SUM(E86:E89)</f>
        <v>254463.62000000002</v>
      </c>
      <c r="F85" s="67">
        <f>SUM(F86:F89)</f>
        <v>127852.78000000001</v>
      </c>
      <c r="G85" s="67">
        <f>SUM(G86:G89)</f>
        <v>100993.41999999998</v>
      </c>
      <c r="H85" s="67">
        <f>SUM(H86:H89)</f>
        <v>38943.015500000009</v>
      </c>
      <c r="I85" s="67">
        <f>SUM(I86:I89)</f>
        <v>58849.250000000015</v>
      </c>
      <c r="J85" s="67">
        <f t="shared" ref="J85:R85" si="34">SUM(J86:J89)</f>
        <v>42787.846599999997</v>
      </c>
      <c r="K85" s="67">
        <f t="shared" si="34"/>
        <v>9995.9900000000016</v>
      </c>
      <c r="L85" s="67">
        <f t="shared" si="34"/>
        <v>0</v>
      </c>
      <c r="M85" s="67">
        <f t="shared" si="34"/>
        <v>0</v>
      </c>
      <c r="N85" s="67">
        <f t="shared" si="34"/>
        <v>0</v>
      </c>
      <c r="O85" s="67">
        <f t="shared" si="34"/>
        <v>0</v>
      </c>
      <c r="P85" s="67">
        <f t="shared" si="34"/>
        <v>0</v>
      </c>
      <c r="Q85" s="67">
        <f t="shared" si="34"/>
        <v>0</v>
      </c>
      <c r="R85" s="67">
        <f t="shared" si="34"/>
        <v>0</v>
      </c>
      <c r="S85" s="68">
        <f t="shared" si="31"/>
        <v>379422.30210000003</v>
      </c>
      <c r="T85" s="37">
        <f>S85/$S$100</f>
        <v>3.9570060419286422E-2</v>
      </c>
    </row>
    <row r="86" spans="1:20" x14ac:dyDescent="0.2">
      <c r="A86" s="58" t="s">
        <v>204</v>
      </c>
      <c r="C86" s="463"/>
      <c r="D86" s="10" t="s">
        <v>163</v>
      </c>
      <c r="E86" s="63">
        <f t="shared" ref="E86:R89" si="35">SUMIFS(E$3:E$64,$D$3:$D$64,$D86,$U$3:$U$64,$A86)</f>
        <v>0</v>
      </c>
      <c r="F86" s="63">
        <f t="shared" si="35"/>
        <v>0</v>
      </c>
      <c r="G86" s="63">
        <f t="shared" si="35"/>
        <v>0</v>
      </c>
      <c r="H86" s="63">
        <f t="shared" si="35"/>
        <v>0</v>
      </c>
      <c r="I86" s="63">
        <f t="shared" si="35"/>
        <v>0</v>
      </c>
      <c r="J86" s="63">
        <f t="shared" si="35"/>
        <v>0</v>
      </c>
      <c r="K86" s="63">
        <f t="shared" si="35"/>
        <v>0</v>
      </c>
      <c r="L86" s="63">
        <f t="shared" si="35"/>
        <v>0</v>
      </c>
      <c r="M86" s="63">
        <f t="shared" si="35"/>
        <v>0</v>
      </c>
      <c r="N86" s="63">
        <f t="shared" si="35"/>
        <v>0</v>
      </c>
      <c r="O86" s="63">
        <f t="shared" si="35"/>
        <v>0</v>
      </c>
      <c r="P86" s="63">
        <f t="shared" si="35"/>
        <v>0</v>
      </c>
      <c r="Q86" s="63">
        <f t="shared" si="35"/>
        <v>0</v>
      </c>
      <c r="R86" s="63">
        <f t="shared" si="35"/>
        <v>0</v>
      </c>
      <c r="S86" s="68">
        <f t="shared" si="31"/>
        <v>0</v>
      </c>
    </row>
    <row r="87" spans="1:20" ht="25.5" x14ac:dyDescent="0.2">
      <c r="A87" s="58" t="s">
        <v>204</v>
      </c>
      <c r="C87" s="463"/>
      <c r="D87" s="16" t="s">
        <v>166</v>
      </c>
      <c r="E87" s="63">
        <f t="shared" si="35"/>
        <v>8300.5999999999985</v>
      </c>
      <c r="F87" s="63">
        <f t="shared" si="35"/>
        <v>4771.2699999999995</v>
      </c>
      <c r="G87" s="63">
        <f t="shared" si="35"/>
        <v>13178.68</v>
      </c>
      <c r="H87" s="63">
        <f t="shared" si="35"/>
        <v>9801.7999999999993</v>
      </c>
      <c r="I87" s="63">
        <f t="shared" si="35"/>
        <v>9801.7999999999993</v>
      </c>
      <c r="J87" s="63">
        <f t="shared" si="35"/>
        <v>8840.1487999999936</v>
      </c>
      <c r="K87" s="63">
        <f t="shared" si="35"/>
        <v>0</v>
      </c>
      <c r="L87" s="63">
        <f t="shared" si="35"/>
        <v>0</v>
      </c>
      <c r="M87" s="63">
        <f t="shared" si="35"/>
        <v>0</v>
      </c>
      <c r="N87" s="63">
        <f t="shared" si="35"/>
        <v>0</v>
      </c>
      <c r="O87" s="63">
        <f t="shared" si="35"/>
        <v>0</v>
      </c>
      <c r="P87" s="63">
        <f t="shared" si="35"/>
        <v>0</v>
      </c>
      <c r="Q87" s="63">
        <f t="shared" si="35"/>
        <v>0</v>
      </c>
      <c r="R87" s="63">
        <f t="shared" si="35"/>
        <v>0</v>
      </c>
      <c r="S87" s="68">
        <f t="shared" si="31"/>
        <v>46393.698799999998</v>
      </c>
    </row>
    <row r="88" spans="1:20" x14ac:dyDescent="0.2">
      <c r="A88" s="58" t="s">
        <v>204</v>
      </c>
      <c r="C88" s="463"/>
      <c r="D88" s="16" t="s">
        <v>155</v>
      </c>
      <c r="E88" s="63">
        <f t="shared" si="35"/>
        <v>246163.02000000002</v>
      </c>
      <c r="F88" s="63">
        <f t="shared" si="35"/>
        <v>123081.51000000001</v>
      </c>
      <c r="G88" s="63">
        <f t="shared" si="35"/>
        <v>87814.739999999991</v>
      </c>
      <c r="H88" s="63">
        <f t="shared" si="35"/>
        <v>29141.215500000006</v>
      </c>
      <c r="I88" s="63">
        <f t="shared" si="35"/>
        <v>49047.450000000012</v>
      </c>
      <c r="J88" s="63">
        <f t="shared" si="35"/>
        <v>33947.697800000002</v>
      </c>
      <c r="K88" s="63">
        <f t="shared" si="35"/>
        <v>9995.9900000000016</v>
      </c>
      <c r="L88" s="63">
        <f t="shared" si="35"/>
        <v>0</v>
      </c>
      <c r="M88" s="63">
        <f t="shared" si="35"/>
        <v>0</v>
      </c>
      <c r="N88" s="63">
        <f t="shared" si="35"/>
        <v>0</v>
      </c>
      <c r="O88" s="63">
        <f t="shared" si="35"/>
        <v>0</v>
      </c>
      <c r="P88" s="63">
        <f t="shared" si="35"/>
        <v>0</v>
      </c>
      <c r="Q88" s="63">
        <f t="shared" si="35"/>
        <v>0</v>
      </c>
      <c r="R88" s="63">
        <f t="shared" si="35"/>
        <v>0</v>
      </c>
      <c r="S88" s="68">
        <f t="shared" si="31"/>
        <v>333028.60330000002</v>
      </c>
    </row>
    <row r="89" spans="1:20" x14ac:dyDescent="0.2">
      <c r="A89" s="58" t="s">
        <v>204</v>
      </c>
      <c r="C89" s="464"/>
      <c r="D89" s="16" t="s">
        <v>310</v>
      </c>
      <c r="E89" s="63">
        <f t="shared" si="35"/>
        <v>0</v>
      </c>
      <c r="F89" s="63">
        <f t="shared" si="35"/>
        <v>0</v>
      </c>
      <c r="G89" s="63">
        <f t="shared" si="35"/>
        <v>0</v>
      </c>
      <c r="H89" s="63">
        <f t="shared" si="35"/>
        <v>0</v>
      </c>
      <c r="I89" s="63">
        <f t="shared" si="35"/>
        <v>0</v>
      </c>
      <c r="J89" s="63">
        <f t="shared" si="35"/>
        <v>0</v>
      </c>
      <c r="K89" s="63">
        <f t="shared" si="35"/>
        <v>0</v>
      </c>
      <c r="L89" s="63">
        <f t="shared" si="35"/>
        <v>0</v>
      </c>
      <c r="M89" s="63">
        <f t="shared" si="35"/>
        <v>0</v>
      </c>
      <c r="N89" s="63">
        <f t="shared" si="35"/>
        <v>0</v>
      </c>
      <c r="O89" s="63">
        <f t="shared" si="35"/>
        <v>0</v>
      </c>
      <c r="P89" s="63">
        <f t="shared" si="35"/>
        <v>0</v>
      </c>
      <c r="Q89" s="63">
        <f t="shared" si="35"/>
        <v>0</v>
      </c>
      <c r="R89" s="63">
        <f t="shared" si="35"/>
        <v>0</v>
      </c>
      <c r="S89" s="68">
        <f t="shared" si="31"/>
        <v>0</v>
      </c>
    </row>
    <row r="90" spans="1:20" ht="25.5" x14ac:dyDescent="0.2">
      <c r="A90" s="58" t="s">
        <v>206</v>
      </c>
      <c r="C90" s="462" t="s">
        <v>205</v>
      </c>
      <c r="D90" s="9" t="s">
        <v>195</v>
      </c>
      <c r="E90" s="67">
        <f>SUM(E91:E94)</f>
        <v>0</v>
      </c>
      <c r="F90" s="67">
        <f>SUM(F91:F94)</f>
        <v>0</v>
      </c>
      <c r="G90" s="67">
        <f>SUM(G91:G94)</f>
        <v>0</v>
      </c>
      <c r="H90" s="67">
        <f>SUM(H91:H94)</f>
        <v>0</v>
      </c>
      <c r="I90" s="67">
        <f>SUM(I91:I94)</f>
        <v>0</v>
      </c>
      <c r="J90" s="67">
        <f t="shared" ref="J90:R90" si="36">SUM(J91:J94)</f>
        <v>0</v>
      </c>
      <c r="K90" s="67">
        <f t="shared" si="36"/>
        <v>0</v>
      </c>
      <c r="L90" s="67">
        <f t="shared" si="36"/>
        <v>0</v>
      </c>
      <c r="M90" s="67">
        <f t="shared" si="36"/>
        <v>0</v>
      </c>
      <c r="N90" s="67">
        <f t="shared" si="36"/>
        <v>0</v>
      </c>
      <c r="O90" s="67">
        <f t="shared" si="36"/>
        <v>0</v>
      </c>
      <c r="P90" s="67">
        <f t="shared" si="36"/>
        <v>0</v>
      </c>
      <c r="Q90" s="67">
        <f t="shared" si="36"/>
        <v>0</v>
      </c>
      <c r="R90" s="67">
        <f t="shared" si="36"/>
        <v>0</v>
      </c>
      <c r="S90" s="68">
        <f>SUM(E90:I90)</f>
        <v>0</v>
      </c>
      <c r="T90" s="37">
        <f>S90/$S$100</f>
        <v>0</v>
      </c>
    </row>
    <row r="91" spans="1:20" x14ac:dyDescent="0.2">
      <c r="A91" s="58" t="s">
        <v>206</v>
      </c>
      <c r="C91" s="463"/>
      <c r="D91" s="10" t="s">
        <v>163</v>
      </c>
      <c r="E91" s="63">
        <f t="shared" ref="E91:R94" si="37">SUMIFS(E$3:E$64,$D$3:$D$64,$D91,$U$3:$U$64,$A91)</f>
        <v>0</v>
      </c>
      <c r="F91" s="63">
        <f t="shared" si="37"/>
        <v>0</v>
      </c>
      <c r="G91" s="63">
        <f t="shared" si="37"/>
        <v>0</v>
      </c>
      <c r="H91" s="63">
        <f t="shared" si="37"/>
        <v>0</v>
      </c>
      <c r="I91" s="63">
        <f t="shared" si="37"/>
        <v>0</v>
      </c>
      <c r="J91" s="63">
        <f t="shared" si="37"/>
        <v>0</v>
      </c>
      <c r="K91" s="63">
        <f t="shared" si="37"/>
        <v>0</v>
      </c>
      <c r="L91" s="63">
        <f t="shared" si="37"/>
        <v>0</v>
      </c>
      <c r="M91" s="63">
        <f t="shared" si="37"/>
        <v>0</v>
      </c>
      <c r="N91" s="63">
        <f t="shared" si="37"/>
        <v>0</v>
      </c>
      <c r="O91" s="63">
        <f t="shared" si="37"/>
        <v>0</v>
      </c>
      <c r="P91" s="63">
        <f t="shared" si="37"/>
        <v>0</v>
      </c>
      <c r="Q91" s="63">
        <f t="shared" si="37"/>
        <v>0</v>
      </c>
      <c r="R91" s="63">
        <f t="shared" si="37"/>
        <v>0</v>
      </c>
      <c r="S91" s="68">
        <f>SUM(E91:R91)</f>
        <v>0</v>
      </c>
    </row>
    <row r="92" spans="1:20" ht="25.5" x14ac:dyDescent="0.2">
      <c r="A92" s="58" t="s">
        <v>206</v>
      </c>
      <c r="C92" s="463"/>
      <c r="D92" s="16" t="s">
        <v>166</v>
      </c>
      <c r="E92" s="63">
        <f t="shared" si="37"/>
        <v>0</v>
      </c>
      <c r="F92" s="63">
        <f t="shared" si="37"/>
        <v>0</v>
      </c>
      <c r="G92" s="63">
        <f t="shared" si="37"/>
        <v>0</v>
      </c>
      <c r="H92" s="63">
        <f t="shared" si="37"/>
        <v>0</v>
      </c>
      <c r="I92" s="63">
        <f t="shared" si="37"/>
        <v>0</v>
      </c>
      <c r="J92" s="63">
        <f t="shared" si="37"/>
        <v>0</v>
      </c>
      <c r="K92" s="63">
        <f t="shared" si="37"/>
        <v>0</v>
      </c>
      <c r="L92" s="63">
        <f t="shared" si="37"/>
        <v>0</v>
      </c>
      <c r="M92" s="63">
        <f t="shared" si="37"/>
        <v>0</v>
      </c>
      <c r="N92" s="63">
        <f t="shared" si="37"/>
        <v>0</v>
      </c>
      <c r="O92" s="63">
        <f t="shared" si="37"/>
        <v>0</v>
      </c>
      <c r="P92" s="63">
        <f t="shared" si="37"/>
        <v>0</v>
      </c>
      <c r="Q92" s="63">
        <f t="shared" si="37"/>
        <v>0</v>
      </c>
      <c r="R92" s="63">
        <f t="shared" si="37"/>
        <v>0</v>
      </c>
      <c r="S92" s="68">
        <f>SUM(E92:R92)</f>
        <v>0</v>
      </c>
    </row>
    <row r="93" spans="1:20" x14ac:dyDescent="0.2">
      <c r="A93" s="58" t="s">
        <v>206</v>
      </c>
      <c r="C93" s="463"/>
      <c r="D93" s="16" t="s">
        <v>155</v>
      </c>
      <c r="E93" s="63">
        <f t="shared" si="37"/>
        <v>0</v>
      </c>
      <c r="F93" s="63">
        <f t="shared" si="37"/>
        <v>0</v>
      </c>
      <c r="G93" s="63">
        <f t="shared" si="37"/>
        <v>0</v>
      </c>
      <c r="H93" s="63">
        <f t="shared" si="37"/>
        <v>0</v>
      </c>
      <c r="I93" s="63">
        <f t="shared" si="37"/>
        <v>0</v>
      </c>
      <c r="J93" s="63">
        <f t="shared" si="37"/>
        <v>0</v>
      </c>
      <c r="K93" s="63">
        <f t="shared" si="37"/>
        <v>0</v>
      </c>
      <c r="L93" s="63">
        <f t="shared" si="37"/>
        <v>0</v>
      </c>
      <c r="M93" s="63">
        <f t="shared" si="37"/>
        <v>0</v>
      </c>
      <c r="N93" s="63">
        <f t="shared" si="37"/>
        <v>0</v>
      </c>
      <c r="O93" s="63">
        <f t="shared" si="37"/>
        <v>0</v>
      </c>
      <c r="P93" s="63">
        <f t="shared" si="37"/>
        <v>0</v>
      </c>
      <c r="Q93" s="63">
        <f t="shared" si="37"/>
        <v>0</v>
      </c>
      <c r="R93" s="63">
        <f t="shared" si="37"/>
        <v>0</v>
      </c>
      <c r="S93" s="68">
        <f>SUM(E93:R93)</f>
        <v>0</v>
      </c>
    </row>
    <row r="94" spans="1:20" x14ac:dyDescent="0.2">
      <c r="A94" s="58" t="s">
        <v>206</v>
      </c>
      <c r="C94" s="464"/>
      <c r="D94" s="16" t="s">
        <v>310</v>
      </c>
      <c r="E94" s="63">
        <f t="shared" si="37"/>
        <v>0</v>
      </c>
      <c r="F94" s="63">
        <f t="shared" si="37"/>
        <v>0</v>
      </c>
      <c r="G94" s="63">
        <f t="shared" si="37"/>
        <v>0</v>
      </c>
      <c r="H94" s="63">
        <f t="shared" si="37"/>
        <v>0</v>
      </c>
      <c r="I94" s="63">
        <f t="shared" si="37"/>
        <v>0</v>
      </c>
      <c r="J94" s="63">
        <f t="shared" si="37"/>
        <v>0</v>
      </c>
      <c r="K94" s="63">
        <f t="shared" si="37"/>
        <v>0</v>
      </c>
      <c r="L94" s="63">
        <f t="shared" si="37"/>
        <v>0</v>
      </c>
      <c r="M94" s="63">
        <f t="shared" si="37"/>
        <v>0</v>
      </c>
      <c r="N94" s="63">
        <f t="shared" si="37"/>
        <v>0</v>
      </c>
      <c r="O94" s="63">
        <f t="shared" si="37"/>
        <v>0</v>
      </c>
      <c r="P94" s="63">
        <f t="shared" si="37"/>
        <v>0</v>
      </c>
      <c r="Q94" s="63">
        <f t="shared" si="37"/>
        <v>0</v>
      </c>
      <c r="R94" s="63">
        <f t="shared" si="37"/>
        <v>0</v>
      </c>
      <c r="S94" s="68">
        <f>SUM(E94:R94)</f>
        <v>0</v>
      </c>
    </row>
    <row r="95" spans="1:20" ht="25.5" x14ac:dyDescent="0.2">
      <c r="A95" s="58" t="s">
        <v>208</v>
      </c>
      <c r="C95" s="462" t="s">
        <v>212</v>
      </c>
      <c r="D95" s="9" t="s">
        <v>195</v>
      </c>
      <c r="E95" s="67" t="e">
        <f>SUM(E96:E99)</f>
        <v>#REF!</v>
      </c>
      <c r="F95" s="67">
        <f>SUM(F96:F99)</f>
        <v>0</v>
      </c>
      <c r="G95" s="67">
        <f>SUM(G96:G99)</f>
        <v>72200</v>
      </c>
      <c r="H95" s="67">
        <f>SUM(H96:H99)</f>
        <v>0</v>
      </c>
      <c r="I95" s="67">
        <f>SUM(I96:I99)</f>
        <v>0</v>
      </c>
      <c r="J95" s="67">
        <f t="shared" ref="J95:R95" si="38">SUM(J96:J99)</f>
        <v>0</v>
      </c>
      <c r="K95" s="67">
        <f t="shared" si="38"/>
        <v>0</v>
      </c>
      <c r="L95" s="67">
        <f t="shared" si="38"/>
        <v>0</v>
      </c>
      <c r="M95" s="67">
        <f t="shared" si="38"/>
        <v>0</v>
      </c>
      <c r="N95" s="67">
        <f t="shared" si="38"/>
        <v>0</v>
      </c>
      <c r="O95" s="67">
        <f t="shared" si="38"/>
        <v>0</v>
      </c>
      <c r="P95" s="67">
        <f t="shared" si="38"/>
        <v>0</v>
      </c>
      <c r="Q95" s="67">
        <f t="shared" si="38"/>
        <v>0</v>
      </c>
      <c r="R95" s="67">
        <f t="shared" si="38"/>
        <v>0</v>
      </c>
      <c r="S95" s="52">
        <f>SUM(F95:R95)</f>
        <v>72200</v>
      </c>
      <c r="T95" s="37">
        <f>S95/$S$100</f>
        <v>7.5297586527201645E-3</v>
      </c>
    </row>
    <row r="96" spans="1:20" x14ac:dyDescent="0.2">
      <c r="A96" s="58" t="s">
        <v>208</v>
      </c>
      <c r="C96" s="463"/>
      <c r="D96" s="10" t="s">
        <v>163</v>
      </c>
      <c r="E96" s="63" t="e">
        <f t="shared" ref="E96:R99" si="39">SUMIFS(E$3:E$64,$D$3:$D$64,$D96,$U$3:$U$64,$A96)</f>
        <v>#REF!</v>
      </c>
      <c r="F96" s="63">
        <f t="shared" si="39"/>
        <v>0</v>
      </c>
      <c r="G96" s="63">
        <f t="shared" si="39"/>
        <v>72200</v>
      </c>
      <c r="H96" s="63">
        <f t="shared" si="39"/>
        <v>0</v>
      </c>
      <c r="I96" s="63">
        <f t="shared" si="39"/>
        <v>0</v>
      </c>
      <c r="J96" s="63">
        <f t="shared" si="39"/>
        <v>0</v>
      </c>
      <c r="K96" s="63">
        <f t="shared" si="39"/>
        <v>0</v>
      </c>
      <c r="L96" s="63">
        <f t="shared" si="39"/>
        <v>0</v>
      </c>
      <c r="M96" s="63">
        <f t="shared" si="39"/>
        <v>0</v>
      </c>
      <c r="N96" s="63">
        <f t="shared" si="39"/>
        <v>0</v>
      </c>
      <c r="O96" s="63">
        <f t="shared" si="39"/>
        <v>0</v>
      </c>
      <c r="P96" s="63">
        <f t="shared" si="39"/>
        <v>0</v>
      </c>
      <c r="Q96" s="63">
        <f t="shared" si="39"/>
        <v>0</v>
      </c>
      <c r="R96" s="63">
        <f t="shared" si="39"/>
        <v>0</v>
      </c>
      <c r="S96" s="52">
        <f t="shared" ref="S96:S99" si="40">SUM(F96:R96)</f>
        <v>72200</v>
      </c>
    </row>
    <row r="97" spans="1:19" ht="25.5" x14ac:dyDescent="0.2">
      <c r="A97" s="58" t="s">
        <v>208</v>
      </c>
      <c r="C97" s="463"/>
      <c r="D97" s="16" t="s">
        <v>166</v>
      </c>
      <c r="E97" s="63" t="e">
        <f t="shared" si="39"/>
        <v>#REF!</v>
      </c>
      <c r="F97" s="63">
        <f t="shared" si="39"/>
        <v>0</v>
      </c>
      <c r="G97" s="63">
        <f t="shared" si="39"/>
        <v>0</v>
      </c>
      <c r="H97" s="63">
        <f t="shared" si="39"/>
        <v>0</v>
      </c>
      <c r="I97" s="63">
        <f t="shared" si="39"/>
        <v>0</v>
      </c>
      <c r="J97" s="63">
        <f t="shared" si="39"/>
        <v>0</v>
      </c>
      <c r="K97" s="63">
        <f t="shared" si="39"/>
        <v>0</v>
      </c>
      <c r="L97" s="63">
        <f t="shared" si="39"/>
        <v>0</v>
      </c>
      <c r="M97" s="63">
        <f t="shared" si="39"/>
        <v>0</v>
      </c>
      <c r="N97" s="63">
        <f t="shared" si="39"/>
        <v>0</v>
      </c>
      <c r="O97" s="63">
        <f t="shared" si="39"/>
        <v>0</v>
      </c>
      <c r="P97" s="63">
        <f t="shared" si="39"/>
        <v>0</v>
      </c>
      <c r="Q97" s="63">
        <f t="shared" si="39"/>
        <v>0</v>
      </c>
      <c r="R97" s="63">
        <f t="shared" si="39"/>
        <v>0</v>
      </c>
      <c r="S97" s="52">
        <f t="shared" si="40"/>
        <v>0</v>
      </c>
    </row>
    <row r="98" spans="1:19" x14ac:dyDescent="0.2">
      <c r="A98" s="58" t="s">
        <v>208</v>
      </c>
      <c r="C98" s="463"/>
      <c r="D98" s="16" t="s">
        <v>155</v>
      </c>
      <c r="E98" s="63" t="e">
        <f t="shared" si="39"/>
        <v>#REF!</v>
      </c>
      <c r="F98" s="63">
        <f t="shared" si="39"/>
        <v>0</v>
      </c>
      <c r="G98" s="63">
        <f t="shared" si="39"/>
        <v>0</v>
      </c>
      <c r="H98" s="63">
        <f t="shared" si="39"/>
        <v>0</v>
      </c>
      <c r="I98" s="63">
        <f t="shared" si="39"/>
        <v>0</v>
      </c>
      <c r="J98" s="63">
        <f t="shared" si="39"/>
        <v>0</v>
      </c>
      <c r="K98" s="63">
        <f t="shared" si="39"/>
        <v>0</v>
      </c>
      <c r="L98" s="63">
        <f t="shared" si="39"/>
        <v>0</v>
      </c>
      <c r="M98" s="63">
        <f t="shared" si="39"/>
        <v>0</v>
      </c>
      <c r="N98" s="63">
        <f t="shared" si="39"/>
        <v>0</v>
      </c>
      <c r="O98" s="63">
        <f t="shared" si="39"/>
        <v>0</v>
      </c>
      <c r="P98" s="63">
        <f t="shared" si="39"/>
        <v>0</v>
      </c>
      <c r="Q98" s="63">
        <f t="shared" si="39"/>
        <v>0</v>
      </c>
      <c r="R98" s="63">
        <f t="shared" si="39"/>
        <v>0</v>
      </c>
      <c r="S98" s="52">
        <f t="shared" si="40"/>
        <v>0</v>
      </c>
    </row>
    <row r="99" spans="1:19" x14ac:dyDescent="0.2">
      <c r="A99" s="58" t="s">
        <v>208</v>
      </c>
      <c r="C99" s="464"/>
      <c r="D99" s="16" t="s">
        <v>310</v>
      </c>
      <c r="E99" s="63" t="e">
        <f t="shared" si="39"/>
        <v>#REF!</v>
      </c>
      <c r="F99" s="63">
        <f t="shared" si="39"/>
        <v>0</v>
      </c>
      <c r="G99" s="63">
        <f t="shared" si="39"/>
        <v>0</v>
      </c>
      <c r="H99" s="63">
        <f t="shared" si="39"/>
        <v>0</v>
      </c>
      <c r="I99" s="63">
        <f t="shared" si="39"/>
        <v>0</v>
      </c>
      <c r="J99" s="63">
        <f t="shared" si="39"/>
        <v>0</v>
      </c>
      <c r="K99" s="63">
        <f t="shared" si="39"/>
        <v>0</v>
      </c>
      <c r="L99" s="63">
        <f t="shared" si="39"/>
        <v>0</v>
      </c>
      <c r="M99" s="63">
        <f t="shared" si="39"/>
        <v>0</v>
      </c>
      <c r="N99" s="63">
        <f t="shared" si="39"/>
        <v>0</v>
      </c>
      <c r="O99" s="63">
        <f t="shared" si="39"/>
        <v>0</v>
      </c>
      <c r="P99" s="63">
        <f t="shared" si="39"/>
        <v>0</v>
      </c>
      <c r="Q99" s="63">
        <f t="shared" si="39"/>
        <v>0</v>
      </c>
      <c r="R99" s="63">
        <f t="shared" si="39"/>
        <v>0</v>
      </c>
      <c r="S99" s="52">
        <f t="shared" si="40"/>
        <v>0</v>
      </c>
    </row>
    <row r="100" spans="1:19" ht="25.5" x14ac:dyDescent="0.2">
      <c r="C100" s="459" t="s">
        <v>151</v>
      </c>
      <c r="D100" s="9" t="s">
        <v>195</v>
      </c>
      <c r="E100" s="67" t="e">
        <f>SUM(E101:E104)</f>
        <v>#REF!</v>
      </c>
      <c r="F100" s="67">
        <f>SUM(F101:F104)</f>
        <v>253041.18</v>
      </c>
      <c r="G100" s="67">
        <f>SUM(G101:G104)</f>
        <v>853529.7868770184</v>
      </c>
      <c r="H100" s="67">
        <f>SUM(H101:H104)</f>
        <v>2365107.5485406397</v>
      </c>
      <c r="I100" s="67">
        <f>SUM(I101:I104)</f>
        <v>1619004.37935926</v>
      </c>
      <c r="J100" s="67">
        <f t="shared" ref="J100:R100" si="41">SUM(J101:J104)</f>
        <v>1014841.7800861537</v>
      </c>
      <c r="K100" s="67">
        <f t="shared" si="41"/>
        <v>751268.28546638577</v>
      </c>
      <c r="L100" s="67">
        <f t="shared" si="41"/>
        <v>762033.91035108839</v>
      </c>
      <c r="M100" s="67">
        <f t="shared" si="41"/>
        <v>324535.75316044281</v>
      </c>
      <c r="N100" s="67">
        <f t="shared" si="41"/>
        <v>283320.98495580483</v>
      </c>
      <c r="O100" s="67">
        <f t="shared" si="41"/>
        <v>291080.56930113456</v>
      </c>
      <c r="P100" s="67">
        <f t="shared" si="41"/>
        <v>372970.84902355348</v>
      </c>
      <c r="Q100" s="67">
        <f t="shared" si="41"/>
        <v>379345.56215170631</v>
      </c>
      <c r="R100" s="67">
        <f t="shared" si="41"/>
        <v>318540.15276313049</v>
      </c>
      <c r="S100" s="52">
        <f>SUM(F100:R100)</f>
        <v>9588620.7420363165</v>
      </c>
    </row>
    <row r="101" spans="1:19" x14ac:dyDescent="0.2">
      <c r="C101" s="460"/>
      <c r="D101" s="10" t="s">
        <v>163</v>
      </c>
      <c r="E101" s="67" t="e">
        <f>SUM(E71,E76,E81,E86,E91,E96)</f>
        <v>#REF!</v>
      </c>
      <c r="F101" s="67">
        <f>SUM(F71,F76,F81,F86,F91,F96)</f>
        <v>125188.4</v>
      </c>
      <c r="G101" s="67">
        <f>SUM(G71,G76,G81,G86,G91,G96)</f>
        <v>519160</v>
      </c>
      <c r="H101" s="67">
        <f>SUM(H71,H76,H81,H86,H91,H96)</f>
        <v>2127581.008287386</v>
      </c>
      <c r="I101" s="67">
        <f>SUM(I71,I76,I81,I86,I91,I96)</f>
        <v>1373138.5927335382</v>
      </c>
      <c r="J101" s="67">
        <f t="shared" ref="J101:R101" si="42">SUM(J71,J76,J81,J86,J91,J96)</f>
        <v>771806.40997351333</v>
      </c>
      <c r="K101" s="67">
        <f t="shared" si="42"/>
        <v>550070.18501323962</v>
      </c>
      <c r="L101" s="67">
        <f t="shared" si="42"/>
        <v>558088.49307981646</v>
      </c>
      <c r="M101" s="67">
        <f t="shared" si="42"/>
        <v>112432.52199831998</v>
      </c>
      <c r="N101" s="67">
        <f t="shared" si="42"/>
        <v>116929.82007825276</v>
      </c>
      <c r="O101" s="67">
        <f t="shared" si="42"/>
        <v>121607.01728138288</v>
      </c>
      <c r="P101" s="67">
        <f t="shared" si="42"/>
        <v>196718.36612301177</v>
      </c>
      <c r="Q101" s="67">
        <f t="shared" si="42"/>
        <v>204587.09396793225</v>
      </c>
      <c r="R101" s="67">
        <f t="shared" si="42"/>
        <v>136791.35345200548</v>
      </c>
      <c r="S101" s="52">
        <f t="shared" ref="S101:S104" si="43">SUM(F101:R101)</f>
        <v>6914099.2619883986</v>
      </c>
    </row>
    <row r="102" spans="1:19" ht="25.5" x14ac:dyDescent="0.2">
      <c r="C102" s="460"/>
      <c r="D102" s="16" t="s">
        <v>166</v>
      </c>
      <c r="E102" s="67" t="e">
        <f t="shared" ref="E102:I104" si="44">SUM(E72,E77,E82,E87,E92,E97)</f>
        <v>#REF!</v>
      </c>
      <c r="F102" s="67">
        <f t="shared" si="44"/>
        <v>4771.2699999999995</v>
      </c>
      <c r="G102" s="67">
        <f t="shared" si="44"/>
        <v>13178.68</v>
      </c>
      <c r="H102" s="67">
        <f t="shared" si="44"/>
        <v>9801.7999999999993</v>
      </c>
      <c r="I102" s="67">
        <f t="shared" si="44"/>
        <v>9801.7999999999993</v>
      </c>
      <c r="J102" s="67">
        <f t="shared" ref="J102:R102" si="45">SUM(J72,J77,J82,J87,J92,J97)</f>
        <v>8840.1487999999936</v>
      </c>
      <c r="K102" s="67">
        <f t="shared" si="45"/>
        <v>0</v>
      </c>
      <c r="L102" s="67">
        <f t="shared" si="45"/>
        <v>0</v>
      </c>
      <c r="M102" s="67">
        <f t="shared" si="45"/>
        <v>0</v>
      </c>
      <c r="N102" s="67">
        <f t="shared" si="45"/>
        <v>0</v>
      </c>
      <c r="O102" s="67">
        <f t="shared" si="45"/>
        <v>0</v>
      </c>
      <c r="P102" s="67">
        <f t="shared" si="45"/>
        <v>0</v>
      </c>
      <c r="Q102" s="67">
        <f t="shared" si="45"/>
        <v>0</v>
      </c>
      <c r="R102" s="67">
        <f t="shared" si="45"/>
        <v>0</v>
      </c>
      <c r="S102" s="52">
        <f t="shared" si="43"/>
        <v>46393.698799999998</v>
      </c>
    </row>
    <row r="103" spans="1:19" x14ac:dyDescent="0.2">
      <c r="C103" s="460"/>
      <c r="D103" s="16" t="s">
        <v>155</v>
      </c>
      <c r="E103" s="67" t="e">
        <f t="shared" si="44"/>
        <v>#REF!</v>
      </c>
      <c r="F103" s="67">
        <f t="shared" si="44"/>
        <v>123081.51000000001</v>
      </c>
      <c r="G103" s="67">
        <f t="shared" si="44"/>
        <v>87814.739999999991</v>
      </c>
      <c r="H103" s="67">
        <f t="shared" si="44"/>
        <v>29141.215500000006</v>
      </c>
      <c r="I103" s="67">
        <f t="shared" si="44"/>
        <v>49047.450000000012</v>
      </c>
      <c r="J103" s="67">
        <f t="shared" ref="J103:R103" si="46">SUM(J73,J78,J83,J88,J93,J98)</f>
        <v>33947.697800000002</v>
      </c>
      <c r="K103" s="67">
        <f t="shared" si="46"/>
        <v>9995.9900000000016</v>
      </c>
      <c r="L103" s="67">
        <f t="shared" si="46"/>
        <v>0</v>
      </c>
      <c r="M103" s="67">
        <f t="shared" si="46"/>
        <v>0</v>
      </c>
      <c r="N103" s="67">
        <f t="shared" si="46"/>
        <v>0</v>
      </c>
      <c r="O103" s="67">
        <f t="shared" si="46"/>
        <v>0</v>
      </c>
      <c r="P103" s="67">
        <f t="shared" si="46"/>
        <v>0</v>
      </c>
      <c r="Q103" s="67">
        <f t="shared" si="46"/>
        <v>0</v>
      </c>
      <c r="R103" s="67">
        <f t="shared" si="46"/>
        <v>0</v>
      </c>
      <c r="S103" s="52">
        <f t="shared" si="43"/>
        <v>333028.60330000002</v>
      </c>
    </row>
    <row r="104" spans="1:19" x14ac:dyDescent="0.2">
      <c r="C104" s="461"/>
      <c r="D104" s="16" t="s">
        <v>310</v>
      </c>
      <c r="E104" s="67" t="e">
        <f t="shared" si="44"/>
        <v>#REF!</v>
      </c>
      <c r="F104" s="67">
        <f t="shared" si="44"/>
        <v>0</v>
      </c>
      <c r="G104" s="67">
        <f t="shared" si="44"/>
        <v>233376.36687701836</v>
      </c>
      <c r="H104" s="67">
        <f t="shared" si="44"/>
        <v>198583.52475325414</v>
      </c>
      <c r="I104" s="67">
        <f t="shared" si="44"/>
        <v>187016.53662572178</v>
      </c>
      <c r="J104" s="67">
        <f t="shared" ref="J104:R104" si="47">SUM(J74,J79,J84,J89,J94,J99)</f>
        <v>200247.52351264044</v>
      </c>
      <c r="K104" s="67">
        <f t="shared" si="47"/>
        <v>191202.1104531461</v>
      </c>
      <c r="L104" s="67">
        <f t="shared" si="47"/>
        <v>203945.41727127193</v>
      </c>
      <c r="M104" s="67">
        <f t="shared" si="47"/>
        <v>212103.23116212286</v>
      </c>
      <c r="N104" s="67">
        <f t="shared" si="47"/>
        <v>166391.16487755207</v>
      </c>
      <c r="O104" s="67">
        <f t="shared" si="47"/>
        <v>169473.55201975166</v>
      </c>
      <c r="P104" s="67">
        <f t="shared" si="47"/>
        <v>176252.48290054171</v>
      </c>
      <c r="Q104" s="67">
        <f t="shared" si="47"/>
        <v>174758.46818377404</v>
      </c>
      <c r="R104" s="67">
        <f t="shared" si="47"/>
        <v>181748.79931112498</v>
      </c>
      <c r="S104" s="52">
        <f t="shared" si="43"/>
        <v>2295099.1779479203</v>
      </c>
    </row>
    <row r="106" spans="1:19" x14ac:dyDescent="0.2">
      <c r="S106" s="166">
        <f>S70/1000</f>
        <v>4081.8339999999998</v>
      </c>
    </row>
    <row r="107" spans="1:19" x14ac:dyDescent="0.2">
      <c r="S107" s="166">
        <f>S75/1000</f>
        <v>1782.3854589492748</v>
      </c>
    </row>
    <row r="108" spans="1:19" x14ac:dyDescent="0.2">
      <c r="S108" s="166">
        <f>S80/1000</f>
        <v>3272.7789809870442</v>
      </c>
    </row>
    <row r="109" spans="1:19" x14ac:dyDescent="0.2">
      <c r="S109" s="166">
        <f>S85/1000</f>
        <v>379.42230210000002</v>
      </c>
    </row>
    <row r="110" spans="1:19" x14ac:dyDescent="0.2">
      <c r="S110" s="166">
        <f>S90/1000</f>
        <v>0</v>
      </c>
    </row>
    <row r="111" spans="1:19" ht="15" x14ac:dyDescent="0.25">
      <c r="C111" s="6"/>
      <c r="D111" s="21"/>
      <c r="S111" s="166">
        <f>S96/1000</f>
        <v>72.2</v>
      </c>
    </row>
    <row r="112" spans="1:19" ht="15" x14ac:dyDescent="0.25">
      <c r="C112" s="6"/>
      <c r="D112" s="21"/>
      <c r="S112" s="167"/>
    </row>
    <row r="113" spans="3:4" ht="15" x14ac:dyDescent="0.25">
      <c r="C113" s="6"/>
      <c r="D113" s="21"/>
    </row>
    <row r="114" spans="3:4" ht="15" x14ac:dyDescent="0.25">
      <c r="C114" s="6"/>
      <c r="D114" s="21"/>
    </row>
    <row r="115" spans="3:4" ht="15" x14ac:dyDescent="0.25">
      <c r="C115" s="6"/>
      <c r="D115" s="21"/>
    </row>
    <row r="116" spans="3:4" ht="15" x14ac:dyDescent="0.25">
      <c r="C116" s="6"/>
      <c r="D116" s="21"/>
    </row>
    <row r="117" spans="3:4" ht="15" x14ac:dyDescent="0.25">
      <c r="C117" s="6"/>
      <c r="D117" s="21"/>
    </row>
    <row r="118" spans="3:4" ht="15" x14ac:dyDescent="0.25">
      <c r="C118" s="6"/>
      <c r="D118" s="6"/>
    </row>
    <row r="119" spans="3:4" ht="15" x14ac:dyDescent="0.25">
      <c r="C119" s="6"/>
      <c r="D119" s="21"/>
    </row>
    <row r="120" spans="3:4" ht="15" x14ac:dyDescent="0.25">
      <c r="C120" s="6"/>
      <c r="D120" s="21"/>
    </row>
    <row r="121" spans="3:4" ht="15" x14ac:dyDescent="0.25">
      <c r="C121" s="6"/>
      <c r="D121" s="21"/>
    </row>
    <row r="122" spans="3:4" ht="15" x14ac:dyDescent="0.25">
      <c r="C122" s="6"/>
      <c r="D122" s="21"/>
    </row>
    <row r="123" spans="3:4" ht="15" x14ac:dyDescent="0.25">
      <c r="C123" s="6"/>
      <c r="D123" s="21"/>
    </row>
    <row r="124" spans="3:4" ht="15" x14ac:dyDescent="0.25">
      <c r="C124" s="6"/>
      <c r="D124" s="21"/>
    </row>
  </sheetData>
  <autoFilter ref="B1:D124"/>
  <mergeCells count="35">
    <mergeCell ref="B1:B2"/>
    <mergeCell ref="C1:C2"/>
    <mergeCell ref="D1:D2"/>
    <mergeCell ref="B4:B11"/>
    <mergeCell ref="C4:C11"/>
    <mergeCell ref="B39:B46"/>
    <mergeCell ref="C39:C46"/>
    <mergeCell ref="C100:C104"/>
    <mergeCell ref="C75:C79"/>
    <mergeCell ref="C80:C84"/>
    <mergeCell ref="C85:C89"/>
    <mergeCell ref="C90:C94"/>
    <mergeCell ref="C95:C99"/>
    <mergeCell ref="C70:C74"/>
    <mergeCell ref="C56:D56"/>
    <mergeCell ref="B57:B64"/>
    <mergeCell ref="C57:C64"/>
    <mergeCell ref="C68:C69"/>
    <mergeCell ref="D68:D69"/>
    <mergeCell ref="A68:A69"/>
    <mergeCell ref="E1:S1"/>
    <mergeCell ref="C21:D21"/>
    <mergeCell ref="C12:D12"/>
    <mergeCell ref="B13:B20"/>
    <mergeCell ref="C13:C20"/>
    <mergeCell ref="E68:S68"/>
    <mergeCell ref="B48:B55"/>
    <mergeCell ref="C48:C55"/>
    <mergeCell ref="C47:D47"/>
    <mergeCell ref="C3:D3"/>
    <mergeCell ref="B22:B29"/>
    <mergeCell ref="C22:C29"/>
    <mergeCell ref="C30:D30"/>
    <mergeCell ref="B31:B38"/>
    <mergeCell ref="C31:C38"/>
  </mergeCells>
  <phoneticPr fontId="33" type="noConversion"/>
  <dataValidations count="2">
    <dataValidation type="list" allowBlank="1" showInputMessage="1" showErrorMessage="1" sqref="C4:C11 C13:C20 C48:C55 C22:C29 C57:C64 C31:C46">
      <formula1>РСО</formula1>
    </dataValidation>
    <dataValidation type="list" allowBlank="1" showInputMessage="1" showErrorMessage="1" sqref="A70:A99 U3:U64">
      <formula1>"ТС, ВС, ВО, ЭС, ГС, ТКО"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8971280C-6867-48E4-86F0-A96609B887B6}">
            <xm:f>NOT(ISERROR(SEARCH($U$30,U1)))</xm:f>
            <xm:f>$U$30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U1:U1048576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285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H142" sqref="AH142"/>
    </sheetView>
  </sheetViews>
  <sheetFormatPr defaultColWidth="9.1640625" defaultRowHeight="12.75" outlineLevelCol="1" x14ac:dyDescent="0.2"/>
  <cols>
    <col min="1" max="1" width="3.33203125" style="13" customWidth="1"/>
    <col min="2" max="2" width="34.1640625" style="13" customWidth="1"/>
    <col min="3" max="3" width="35.83203125" style="13" customWidth="1"/>
    <col min="4" max="17" width="14.6640625" style="76" customWidth="1"/>
    <col min="18" max="18" width="16.5" style="76" hidden="1" customWidth="1"/>
    <col min="19" max="19" width="18" style="13" hidden="1" customWidth="1"/>
    <col min="20" max="20" width="53.83203125" style="13" hidden="1" customWidth="1" outlineLevel="1"/>
    <col min="21" max="24" width="9.1640625" style="13" hidden="1" customWidth="1" outlineLevel="1"/>
    <col min="25" max="25" width="33.83203125" style="13" hidden="1" customWidth="1" outlineLevel="1"/>
    <col min="26" max="26" width="43.5" style="13" hidden="1" customWidth="1" outlineLevel="1"/>
    <col min="27" max="27" width="45.5" style="13" hidden="1" customWidth="1" outlineLevel="1"/>
    <col min="28" max="28" width="40.6640625" style="13" hidden="1" customWidth="1" outlineLevel="1"/>
    <col min="29" max="29" width="17.1640625" style="13" customWidth="1" collapsed="1"/>
    <col min="30" max="30" width="12.5" style="13" hidden="1" customWidth="1" outlineLevel="1"/>
    <col min="31" max="31" width="11.5" style="13" hidden="1" customWidth="1" outlineLevel="1"/>
    <col min="32" max="32" width="58.83203125" style="13" hidden="1" customWidth="1" outlineLevel="1"/>
    <col min="33" max="33" width="18.6640625" style="13" hidden="1" customWidth="1" outlineLevel="1"/>
    <col min="34" max="34" width="11.6640625" style="13" customWidth="1" collapsed="1"/>
    <col min="35" max="41" width="16.5" style="13" customWidth="1"/>
    <col min="42" max="16384" width="9.1640625" style="13"/>
  </cols>
  <sheetData>
    <row r="1" spans="2:27" ht="35.25" customHeight="1" x14ac:dyDescent="0.2">
      <c r="B1" s="475" t="s">
        <v>213</v>
      </c>
      <c r="C1" s="421" t="s">
        <v>214</v>
      </c>
      <c r="D1" s="472" t="s">
        <v>149</v>
      </c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4"/>
      <c r="R1" s="13"/>
      <c r="S1" s="421" t="s">
        <v>209</v>
      </c>
    </row>
    <row r="2" spans="2:27" x14ac:dyDescent="0.2">
      <c r="B2" s="475"/>
      <c r="C2" s="421"/>
      <c r="D2" s="5">
        <v>2023</v>
      </c>
      <c r="E2" s="5">
        <v>2024</v>
      </c>
      <c r="F2" s="5">
        <v>2025</v>
      </c>
      <c r="G2" s="5">
        <v>2026</v>
      </c>
      <c r="H2" s="5">
        <v>2027</v>
      </c>
      <c r="I2" s="5">
        <v>2028</v>
      </c>
      <c r="J2" s="5">
        <v>2029</v>
      </c>
      <c r="K2" s="5">
        <v>2030</v>
      </c>
      <c r="L2" s="5">
        <v>2031</v>
      </c>
      <c r="M2" s="5">
        <v>2032</v>
      </c>
      <c r="N2" s="5">
        <v>2033</v>
      </c>
      <c r="O2" s="5">
        <v>2034</v>
      </c>
      <c r="P2" s="5">
        <v>2035</v>
      </c>
      <c r="Q2" s="42" t="s">
        <v>215</v>
      </c>
      <c r="R2" s="13"/>
      <c r="S2" s="421"/>
    </row>
    <row r="3" spans="2:27" ht="13.5" x14ac:dyDescent="0.2">
      <c r="B3" s="480" t="s">
        <v>193</v>
      </c>
      <c r="C3" s="480"/>
      <c r="D3" s="52">
        <f>SUM(D4,)</f>
        <v>27477.4</v>
      </c>
      <c r="E3" s="52">
        <f t="shared" ref="E3:Q3" si="0">SUM(E4,)</f>
        <v>126792.01471157232</v>
      </c>
      <c r="F3" s="52">
        <f t="shared" si="0"/>
        <v>1157566.7082873862</v>
      </c>
      <c r="G3" s="52">
        <f t="shared" si="0"/>
        <v>1103202.5203942945</v>
      </c>
      <c r="H3" s="52">
        <f t="shared" si="0"/>
        <v>770695.05314069986</v>
      </c>
      <c r="I3" s="52">
        <f t="shared" si="0"/>
        <v>446120</v>
      </c>
      <c r="J3" s="52">
        <f t="shared" si="0"/>
        <v>449980.30346604728</v>
      </c>
      <c r="K3" s="52">
        <f t="shared" si="0"/>
        <v>0</v>
      </c>
      <c r="L3" s="52">
        <f t="shared" si="0"/>
        <v>0</v>
      </c>
      <c r="M3" s="52">
        <f t="shared" si="0"/>
        <v>0</v>
      </c>
      <c r="N3" s="52">
        <f t="shared" si="0"/>
        <v>0</v>
      </c>
      <c r="O3" s="52">
        <f t="shared" si="0"/>
        <v>0</v>
      </c>
      <c r="P3" s="52">
        <f t="shared" si="0"/>
        <v>0</v>
      </c>
      <c r="Q3" s="52">
        <f t="shared" si="0"/>
        <v>4081834</v>
      </c>
      <c r="R3" s="93">
        <f>'Перечень инв.проектов ТС'!AG49</f>
        <v>4081833.9999999995</v>
      </c>
      <c r="S3" s="100"/>
    </row>
    <row r="4" spans="2:27" ht="13.5" x14ac:dyDescent="0.2">
      <c r="B4" s="478" t="s">
        <v>595</v>
      </c>
      <c r="C4" s="478"/>
      <c r="D4" s="52">
        <f t="shared" ref="D4:P4" si="1">SUM(D5,D10,D15,D20)</f>
        <v>27477.4</v>
      </c>
      <c r="E4" s="52">
        <f t="shared" si="1"/>
        <v>126792.01471157232</v>
      </c>
      <c r="F4" s="52">
        <f t="shared" si="1"/>
        <v>1157566.7082873862</v>
      </c>
      <c r="G4" s="52">
        <f t="shared" si="1"/>
        <v>1103202.5203942945</v>
      </c>
      <c r="H4" s="52">
        <f t="shared" si="1"/>
        <v>770695.05314069986</v>
      </c>
      <c r="I4" s="52">
        <f t="shared" si="1"/>
        <v>446120</v>
      </c>
      <c r="J4" s="52">
        <f t="shared" si="1"/>
        <v>449980.30346604728</v>
      </c>
      <c r="K4" s="52">
        <f t="shared" si="1"/>
        <v>0</v>
      </c>
      <c r="L4" s="52">
        <f t="shared" si="1"/>
        <v>0</v>
      </c>
      <c r="M4" s="52">
        <f t="shared" si="1"/>
        <v>0</v>
      </c>
      <c r="N4" s="52">
        <f t="shared" si="1"/>
        <v>0</v>
      </c>
      <c r="O4" s="52">
        <f t="shared" si="1"/>
        <v>0</v>
      </c>
      <c r="P4" s="52">
        <f t="shared" si="1"/>
        <v>0</v>
      </c>
      <c r="Q4" s="52">
        <f>SUM(Q5,Q10,Q15,Q20)</f>
        <v>4081834</v>
      </c>
      <c r="R4" s="93">
        <f>Q4-Q25</f>
        <v>0</v>
      </c>
      <c r="S4" s="70"/>
      <c r="AA4" s="14">
        <f>Q4</f>
        <v>4081834</v>
      </c>
    </row>
    <row r="5" spans="2:27" x14ac:dyDescent="0.2">
      <c r="B5" s="479" t="s">
        <v>153</v>
      </c>
      <c r="C5" s="15" t="s">
        <v>216</v>
      </c>
      <c r="D5" s="77">
        <f t="shared" ref="D5:P5" si="2">SUM(D6:D9)</f>
        <v>0</v>
      </c>
      <c r="E5" s="77">
        <f t="shared" si="2"/>
        <v>2832.0147115723285</v>
      </c>
      <c r="F5" s="77">
        <f t="shared" si="2"/>
        <v>0</v>
      </c>
      <c r="G5" s="77">
        <f t="shared" si="2"/>
        <v>0</v>
      </c>
      <c r="H5" s="77">
        <f t="shared" si="2"/>
        <v>0</v>
      </c>
      <c r="I5" s="77">
        <f t="shared" si="2"/>
        <v>0</v>
      </c>
      <c r="J5" s="77">
        <f t="shared" si="2"/>
        <v>0</v>
      </c>
      <c r="K5" s="77">
        <f t="shared" si="2"/>
        <v>0</v>
      </c>
      <c r="L5" s="77">
        <f t="shared" si="2"/>
        <v>0</v>
      </c>
      <c r="M5" s="77">
        <f t="shared" si="2"/>
        <v>0</v>
      </c>
      <c r="N5" s="77">
        <f t="shared" si="2"/>
        <v>0</v>
      </c>
      <c r="O5" s="77">
        <f t="shared" si="2"/>
        <v>0</v>
      </c>
      <c r="P5" s="77">
        <f t="shared" si="2"/>
        <v>0</v>
      </c>
      <c r="Q5" s="77">
        <f>SUM(Q6:Q9)</f>
        <v>2832.0147115723285</v>
      </c>
      <c r="R5" s="14"/>
      <c r="S5" s="70"/>
      <c r="U5" s="71" t="s">
        <v>153</v>
      </c>
      <c r="AA5" s="14">
        <f t="shared" ref="AA5:AA28" si="3">Q5</f>
        <v>2832.0147115723285</v>
      </c>
    </row>
    <row r="6" spans="2:27" x14ac:dyDescent="0.2">
      <c r="B6" s="479"/>
      <c r="C6" s="10" t="s">
        <v>163</v>
      </c>
      <c r="D6" s="62">
        <f>SUMIFS('Перечень инв.проектов ТС'!O$5:O$48,'Перечень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E6" s="62">
        <f>SUMIFS('Перечень инв.проектов ТС'!P$5:P$48,'Перечень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F6" s="62">
        <f>SUMIFS('Перечень инв.проектов ТС'!Q$5:Q$48,'Перечень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G6" s="62">
        <f>SUMIFS('Перечень инв.проектов ТС'!R$5:R$48,'Перечень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H6" s="62">
        <f>SUMIFS('Перечень инв.проектов ТС'!S$5:S$48,'Перечень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I6" s="62">
        <f>SUMIFS('Перечень инв.проектов ТС'!T$5:T$48,'Перечень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J6" s="62">
        <f>SUMIFS('Перечень инв.проектов ТС'!U$5:U$48,'Перечень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K6" s="62">
        <f>SUMIFS('Перечень инв.проектов ТС'!V$5:V$48,'Перечень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L6" s="62">
        <f>SUMIFS('Перечень инв.проектов ТС'!W$5:W$48,'Перечень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M6" s="62">
        <f>SUMIFS('Перечень инв.проектов ТС'!X$5:X$48,'Перечень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N6" s="62">
        <f>SUMIFS('Перечень инв.проектов ТС'!Y$5:Y$48,'Перечень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O6" s="62">
        <f>SUMIFS('Перечень инв.проектов ТС'!Z$5:Z$48,'Перечень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P6" s="62">
        <f>SUMIFS('Перечень инв.проектов ТС'!AA$5:AA$48,'Перечень инв.проектов ТС'!$C$5:$C$48,'Программа инв. проектов'!$S6,'Перечень инв.проектов ТС'!$L$5:$L$48,$C6,'Перечень инв.проектов ТС'!$B$5:$B$48,'Программа инв. проектов'!$B$4)</f>
        <v>0</v>
      </c>
      <c r="Q6" s="62">
        <f>SUM(D6:P6)</f>
        <v>0</v>
      </c>
      <c r="R6" s="14"/>
      <c r="S6" s="69" t="s">
        <v>153</v>
      </c>
      <c r="U6" s="71" t="s">
        <v>186</v>
      </c>
      <c r="AA6" s="14">
        <f t="shared" si="3"/>
        <v>0</v>
      </c>
    </row>
    <row r="7" spans="2:27" ht="25.5" x14ac:dyDescent="0.2">
      <c r="B7" s="479"/>
      <c r="C7" s="16" t="s">
        <v>166</v>
      </c>
      <c r="D7" s="62">
        <f>SUMIFS('Перечень инв.проектов ТС'!O$5:O$48,'Перечень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E7" s="62">
        <f>SUMIFS('Перечень инв.проектов ТС'!P$5:P$48,'Перечень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F7" s="62">
        <f>SUMIFS('Перечень инв.проектов ТС'!Q$5:Q$48,'Перечень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G7" s="62">
        <f>SUMIFS('Перечень инв.проектов ТС'!R$5:R$48,'Перечень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H7" s="62">
        <f>SUMIFS('Перечень инв.проектов ТС'!S$5:S$48,'Перечень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I7" s="62">
        <f>SUMIFS('Перечень инв.проектов ТС'!T$5:T$48,'Перечень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J7" s="62">
        <f>SUMIFS('Перечень инв.проектов ТС'!U$5:U$48,'Перечень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K7" s="62">
        <f>SUMIFS('Перечень инв.проектов ТС'!V$5:V$48,'Перечень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L7" s="62">
        <f>SUMIFS('Перечень инв.проектов ТС'!W$5:W$48,'Перечень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M7" s="62">
        <f>SUMIFS('Перечень инв.проектов ТС'!X$5:X$48,'Перечень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N7" s="62">
        <f>SUMIFS('Перечень инв.проектов ТС'!Y$5:Y$48,'Перечень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O7" s="62">
        <f>SUMIFS('Перечень инв.проектов ТС'!Z$5:Z$48,'Перечень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P7" s="62">
        <f>SUMIFS('Перечень инв.проектов ТС'!AA$5:AA$48,'Перечень инв.проектов ТС'!$C$5:$C$48,'Программа инв. проектов'!$S7,'Перечень инв.проектов ТС'!$L$5:$L$48,$C7,'Перечень инв.проектов ТС'!$B$5:$B$48,'Программа инв. проектов'!$B$4)</f>
        <v>0</v>
      </c>
      <c r="Q7" s="62">
        <f>SUM(D7:P7)</f>
        <v>0</v>
      </c>
      <c r="R7" s="14"/>
      <c r="S7" s="69" t="s">
        <v>153</v>
      </c>
      <c r="U7" s="71" t="s">
        <v>217</v>
      </c>
      <c r="AA7" s="14">
        <f t="shared" si="3"/>
        <v>0</v>
      </c>
    </row>
    <row r="8" spans="2:27" x14ac:dyDescent="0.2">
      <c r="B8" s="479"/>
      <c r="C8" s="16" t="s">
        <v>155</v>
      </c>
      <c r="D8" s="62">
        <f>SUMIFS('Перечень инв.проектов ТС'!O$5:O$48,'Перечень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E8" s="62">
        <f>SUMIFS('Перечень инв.проектов ТС'!P$5:P$48,'Перечень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F8" s="62">
        <f>SUMIFS('Перечень инв.проектов ТС'!Q$5:Q$48,'Перечень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G8" s="62">
        <f>SUMIFS('Перечень инв.проектов ТС'!R$5:R$48,'Перечень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H8" s="62">
        <f>SUMIFS('Перечень инв.проектов ТС'!S$5:S$48,'Перечень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I8" s="62">
        <f>SUMIFS('Перечень инв.проектов ТС'!T$5:T$48,'Перечень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J8" s="62">
        <f>SUMIFS('Перечень инв.проектов ТС'!U$5:U$48,'Перечень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K8" s="62">
        <f>SUMIFS('Перечень инв.проектов ТС'!V$5:V$48,'Перечень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L8" s="62">
        <f>SUMIFS('Перечень инв.проектов ТС'!W$5:W$48,'Перечень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M8" s="62">
        <f>SUMIFS('Перечень инв.проектов ТС'!X$5:X$48,'Перечень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N8" s="62">
        <f>SUMIFS('Перечень инв.проектов ТС'!Y$5:Y$48,'Перечень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O8" s="62">
        <f>SUMIFS('Перечень инв.проектов ТС'!Z$5:Z$48,'Перечень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P8" s="62">
        <f>SUMIFS('Перечень инв.проектов ТС'!AA$5:AA$48,'Перечень инв.проектов ТС'!$C$5:$C$48,'Программа инв. проектов'!$S8,'Перечень инв.проектов ТС'!$L$5:$L$48,$C8,'Перечень инв.проектов ТС'!$B$5:$B$48,'Программа инв. проектов'!$B$4)</f>
        <v>0</v>
      </c>
      <c r="Q8" s="62">
        <f>SUM(D8:P8)</f>
        <v>0</v>
      </c>
      <c r="R8" s="14"/>
      <c r="S8" s="69" t="s">
        <v>153</v>
      </c>
      <c r="T8" s="14"/>
      <c r="U8" s="72" t="s">
        <v>168</v>
      </c>
      <c r="V8" s="14"/>
      <c r="W8" s="14"/>
      <c r="X8" s="14"/>
      <c r="Y8" s="14"/>
      <c r="AA8" s="14">
        <f t="shared" si="3"/>
        <v>0</v>
      </c>
    </row>
    <row r="9" spans="2:27" x14ac:dyDescent="0.2">
      <c r="B9" s="479"/>
      <c r="C9" s="16" t="s">
        <v>310</v>
      </c>
      <c r="D9" s="62">
        <f>SUMIFS('Перечень инв.проектов ТС'!O$5:O$48,'Перечень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E9" s="62">
        <f>SUMIFS('Перечень инв.проектов ТС'!P$5:P$48,'Перечень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2832.0147115723285</v>
      </c>
      <c r="F9" s="62">
        <f>SUMIFS('Перечень инв.проектов ТС'!Q$5:Q$48,'Перечень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G9" s="62">
        <f>SUMIFS('Перечень инв.проектов ТС'!R$5:R$48,'Перечень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H9" s="62">
        <f>SUMIFS('Перечень инв.проектов ТС'!S$5:S$48,'Перечень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I9" s="62">
        <f>SUMIFS('Перечень инв.проектов ТС'!T$5:T$48,'Перечень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J9" s="62">
        <f>SUMIFS('Перечень инв.проектов ТС'!U$5:U$48,'Перечень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K9" s="62">
        <f>SUMIFS('Перечень инв.проектов ТС'!V$5:V$48,'Перечень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L9" s="62">
        <f>SUMIFS('Перечень инв.проектов ТС'!W$5:W$48,'Перечень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M9" s="62">
        <f>SUMIFS('Перечень инв.проектов ТС'!X$5:X$48,'Перечень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N9" s="62">
        <f>SUMIFS('Перечень инв.проектов ТС'!Y$5:Y$48,'Перечень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O9" s="62">
        <f>SUMIFS('Перечень инв.проектов ТС'!Z$5:Z$48,'Перечень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P9" s="62">
        <f>SUMIFS('Перечень инв.проектов ТС'!AA$5:AA$48,'Перечень инв.проектов ТС'!$C$5:$C$48,'Программа инв. проектов'!$S9,'Перечень инв.проектов ТС'!$L$5:$L$48,$C9,'Перечень инв.проектов ТС'!$B$5:$B$48,'Программа инв. проектов'!$B$4)</f>
        <v>0</v>
      </c>
      <c r="Q9" s="62">
        <f>SUM(D9:P9)</f>
        <v>2832.0147115723285</v>
      </c>
      <c r="R9" s="14"/>
      <c r="S9" s="69" t="s">
        <v>153</v>
      </c>
      <c r="AA9" s="14">
        <f t="shared" si="3"/>
        <v>2832.0147115723285</v>
      </c>
    </row>
    <row r="10" spans="2:27" x14ac:dyDescent="0.2">
      <c r="B10" s="479" t="s">
        <v>164</v>
      </c>
      <c r="C10" s="15" t="s">
        <v>216</v>
      </c>
      <c r="D10" s="77">
        <f t="shared" ref="D10:P10" si="4">SUM(D11:D14)</f>
        <v>27477.4</v>
      </c>
      <c r="E10" s="77">
        <f t="shared" si="4"/>
        <v>123960</v>
      </c>
      <c r="F10" s="77">
        <f t="shared" si="4"/>
        <v>1157566.7082873862</v>
      </c>
      <c r="G10" s="77">
        <f t="shared" si="4"/>
        <v>1103202.5203942945</v>
      </c>
      <c r="H10" s="77">
        <f t="shared" si="4"/>
        <v>770695.05314069986</v>
      </c>
      <c r="I10" s="77">
        <f t="shared" si="4"/>
        <v>446120</v>
      </c>
      <c r="J10" s="77">
        <f t="shared" si="4"/>
        <v>449980.30346604728</v>
      </c>
      <c r="K10" s="77">
        <f t="shared" si="4"/>
        <v>0</v>
      </c>
      <c r="L10" s="77">
        <f t="shared" si="4"/>
        <v>0</v>
      </c>
      <c r="M10" s="77">
        <f t="shared" si="4"/>
        <v>0</v>
      </c>
      <c r="N10" s="77">
        <f t="shared" si="4"/>
        <v>0</v>
      </c>
      <c r="O10" s="77">
        <f t="shared" si="4"/>
        <v>0</v>
      </c>
      <c r="P10" s="77">
        <f t="shared" si="4"/>
        <v>0</v>
      </c>
      <c r="Q10" s="77">
        <f>SUM(Q11:Q14)</f>
        <v>4079001.9852884277</v>
      </c>
      <c r="R10" s="13"/>
      <c r="S10" s="69"/>
      <c r="AA10" s="14">
        <f t="shared" si="3"/>
        <v>4079001.9852884277</v>
      </c>
    </row>
    <row r="11" spans="2:27" x14ac:dyDescent="0.2">
      <c r="B11" s="479"/>
      <c r="C11" s="10" t="s">
        <v>163</v>
      </c>
      <c r="D11" s="62">
        <f>SUMIFS('Перечень инв.проектов ТС'!O$5:O$48,'Перечень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27477.4</v>
      </c>
      <c r="E11" s="62">
        <f>SUMIFS('Перечень инв.проектов ТС'!P$5:P$48,'Перечень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123960</v>
      </c>
      <c r="F11" s="62">
        <f>SUMIFS('Перечень инв.проектов ТС'!Q$5:Q$48,'Перечень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1157566.7082873862</v>
      </c>
      <c r="G11" s="62">
        <f>SUMIFS('Перечень инв.проектов ТС'!R$5:R$48,'Перечень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1103202.5203942945</v>
      </c>
      <c r="H11" s="62">
        <f>SUMIFS('Перечень инв.проектов ТС'!S$5:S$48,'Перечень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770695.05314069986</v>
      </c>
      <c r="I11" s="62">
        <f>SUMIFS('Перечень инв.проектов ТС'!T$5:T$48,'Перечень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446120</v>
      </c>
      <c r="J11" s="62">
        <f>SUMIFS('Перечень инв.проектов ТС'!U$5:U$48,'Перечень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449980.30346604728</v>
      </c>
      <c r="K11" s="62">
        <f>SUMIFS('Перечень инв.проектов ТС'!V$5:V$48,'Перечень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0</v>
      </c>
      <c r="L11" s="62">
        <f>SUMIFS('Перечень инв.проектов ТС'!W$5:W$48,'Перечень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0</v>
      </c>
      <c r="M11" s="62">
        <f>SUMIFS('Перечень инв.проектов ТС'!X$5:X$48,'Перечень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0</v>
      </c>
      <c r="N11" s="62">
        <f>SUMIFS('Перечень инв.проектов ТС'!Y$5:Y$48,'Перечень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0</v>
      </c>
      <c r="O11" s="62">
        <f>SUMIFS('Перечень инв.проектов ТС'!Z$5:Z$48,'Перечень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0</v>
      </c>
      <c r="P11" s="62">
        <f>SUMIFS('Перечень инв.проектов ТС'!AA$5:AA$48,'Перечень инв.проектов ТС'!$C$5:$C$48,'Программа инв. проектов'!$S11,'Перечень инв.проектов ТС'!$L$5:$L$48,$C11,'Перечень инв.проектов ТС'!$B$5:$B$48,'Программа инв. проектов'!$B$4)</f>
        <v>0</v>
      </c>
      <c r="Q11" s="62">
        <f>SUM(D11:P11)</f>
        <v>4079001.9852884277</v>
      </c>
      <c r="R11" s="13"/>
      <c r="S11" s="69" t="s">
        <v>164</v>
      </c>
      <c r="AA11" s="14">
        <f t="shared" si="3"/>
        <v>4079001.9852884277</v>
      </c>
    </row>
    <row r="12" spans="2:27" ht="25.5" x14ac:dyDescent="0.2">
      <c r="B12" s="479"/>
      <c r="C12" s="16" t="s">
        <v>166</v>
      </c>
      <c r="D12" s="62">
        <f>SUMIFS('Перечень инв.проектов ТС'!O$5:O$48,'Перечень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E12" s="62">
        <f>SUMIFS('Перечень инв.проектов ТС'!P$5:P$48,'Перечень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F12" s="62">
        <f>SUMIFS('Перечень инв.проектов ТС'!Q$5:Q$48,'Перечень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G12" s="62">
        <f>SUMIFS('Перечень инв.проектов ТС'!R$5:R$48,'Перечень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H12" s="62">
        <f>SUMIFS('Перечень инв.проектов ТС'!S$5:S$48,'Перечень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I12" s="62">
        <f>SUMIFS('Перечень инв.проектов ТС'!T$5:T$48,'Перечень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J12" s="62">
        <f>SUMIFS('Перечень инв.проектов ТС'!U$5:U$48,'Перечень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K12" s="62">
        <f>SUMIFS('Перечень инв.проектов ТС'!V$5:V$48,'Перечень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L12" s="62">
        <f>SUMIFS('Перечень инв.проектов ТС'!W$5:W$48,'Перечень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M12" s="62">
        <f>SUMIFS('Перечень инв.проектов ТС'!X$5:X$48,'Перечень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N12" s="62">
        <f>SUMIFS('Перечень инв.проектов ТС'!Y$5:Y$48,'Перечень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O12" s="62">
        <f>SUMIFS('Перечень инв.проектов ТС'!Z$5:Z$48,'Перечень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P12" s="62">
        <f>SUMIFS('Перечень инв.проектов ТС'!AA$5:AA$48,'Перечень инв.проектов ТС'!$C$5:$C$48,'Программа инв. проектов'!$S12,'Перечень инв.проектов ТС'!$L$5:$L$48,$C12,'Перечень инв.проектов ТС'!$B$5:$B$48,'Программа инв. проектов'!$B$4)</f>
        <v>0</v>
      </c>
      <c r="Q12" s="62">
        <f>SUM(D12:P12)</f>
        <v>0</v>
      </c>
      <c r="R12" s="13"/>
      <c r="S12" s="69" t="s">
        <v>164</v>
      </c>
      <c r="AA12" s="14">
        <f t="shared" si="3"/>
        <v>0</v>
      </c>
    </row>
    <row r="13" spans="2:27" x14ac:dyDescent="0.2">
      <c r="B13" s="479"/>
      <c r="C13" s="16" t="s">
        <v>155</v>
      </c>
      <c r="D13" s="62">
        <f>SUMIFS('Перечень инв.проектов ТС'!O$5:O$48,'Перечень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E13" s="62">
        <f>SUMIFS('Перечень инв.проектов ТС'!P$5:P$48,'Перечень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F13" s="62">
        <f>SUMIFS('Перечень инв.проектов ТС'!Q$5:Q$48,'Перечень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G13" s="62">
        <f>SUMIFS('Перечень инв.проектов ТС'!R$5:R$48,'Перечень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H13" s="62">
        <f>SUMIFS('Перечень инв.проектов ТС'!S$5:S$48,'Перечень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I13" s="62">
        <f>SUMIFS('Перечень инв.проектов ТС'!T$5:T$48,'Перечень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J13" s="62">
        <f>SUMIFS('Перечень инв.проектов ТС'!U$5:U$48,'Перечень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K13" s="62">
        <f>SUMIFS('Перечень инв.проектов ТС'!V$5:V$48,'Перечень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L13" s="62">
        <f>SUMIFS('Перечень инв.проектов ТС'!W$5:W$48,'Перечень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M13" s="62">
        <f>SUMIFS('Перечень инв.проектов ТС'!X$5:X$48,'Перечень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N13" s="62">
        <f>SUMIFS('Перечень инв.проектов ТС'!Y$5:Y$48,'Перечень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O13" s="62">
        <f>SUMIFS('Перечень инв.проектов ТС'!Z$5:Z$48,'Перечень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P13" s="62">
        <f>SUMIFS('Перечень инв.проектов ТС'!AA$5:AA$48,'Перечень инв.проектов ТС'!$C$5:$C$48,'Программа инв. проектов'!$S13,'Перечень инв.проектов ТС'!$L$5:$L$48,$C13,'Перечень инв.проектов ТС'!$B$5:$B$48,'Программа инв. проектов'!$B$4)</f>
        <v>0</v>
      </c>
      <c r="Q13" s="62">
        <f>SUM(D13:P13)</f>
        <v>0</v>
      </c>
      <c r="R13" s="13"/>
      <c r="S13" s="69" t="s">
        <v>164</v>
      </c>
      <c r="AA13" s="14">
        <f t="shared" si="3"/>
        <v>0</v>
      </c>
    </row>
    <row r="14" spans="2:27" x14ac:dyDescent="0.2">
      <c r="B14" s="479"/>
      <c r="C14" s="16" t="s">
        <v>310</v>
      </c>
      <c r="D14" s="62">
        <f>SUMIFS('Перечень инв.проектов ТС'!O$5:O$48,'Перечень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E14" s="62">
        <f>SUMIFS('Перечень инв.проектов ТС'!P$5:P$48,'Перечень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F14" s="62">
        <f>SUMIFS('Перечень инв.проектов ТС'!Q$5:Q$48,'Перечень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G14" s="62">
        <f>SUMIFS('Перечень инв.проектов ТС'!R$5:R$48,'Перечень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H14" s="62">
        <f>SUMIFS('Перечень инв.проектов ТС'!S$5:S$48,'Перечень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I14" s="62">
        <f>SUMIFS('Перечень инв.проектов ТС'!T$5:T$48,'Перечень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J14" s="62">
        <f>SUMIFS('Перечень инв.проектов ТС'!U$5:U$48,'Перечень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K14" s="62">
        <f>SUMIFS('Перечень инв.проектов ТС'!V$5:V$48,'Перечень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L14" s="62">
        <f>SUMIFS('Перечень инв.проектов ТС'!W$5:W$48,'Перечень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M14" s="62">
        <f>SUMIFS('Перечень инв.проектов ТС'!X$5:X$48,'Перечень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N14" s="62">
        <f>SUMIFS('Перечень инв.проектов ТС'!Y$5:Y$48,'Перечень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O14" s="62">
        <f>SUMIFS('Перечень инв.проектов ТС'!Z$5:Z$48,'Перечень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P14" s="62">
        <f>SUMIFS('Перечень инв.проектов ТС'!AA$5:AA$48,'Перечень инв.проектов ТС'!$C$5:$C$48,'Программа инв. проектов'!$S14,'Перечень инв.проектов ТС'!$L$5:$L$48,$C14,'Перечень инв.проектов ТС'!$B$5:$B$48,'Программа инв. проектов'!$B$4)</f>
        <v>0</v>
      </c>
      <c r="Q14" s="62">
        <f>SUM(D14:P14)</f>
        <v>0</v>
      </c>
      <c r="R14" s="13"/>
      <c r="S14" s="69" t="s">
        <v>164</v>
      </c>
      <c r="AA14" s="14">
        <f t="shared" si="3"/>
        <v>0</v>
      </c>
    </row>
    <row r="15" spans="2:27" x14ac:dyDescent="0.2">
      <c r="B15" s="479" t="s">
        <v>167</v>
      </c>
      <c r="C15" s="15" t="s">
        <v>216</v>
      </c>
      <c r="D15" s="77">
        <f t="shared" ref="D15:Q15" si="5">SUM(D16:D19)</f>
        <v>0</v>
      </c>
      <c r="E15" s="77">
        <f t="shared" si="5"/>
        <v>0</v>
      </c>
      <c r="F15" s="77">
        <f t="shared" si="5"/>
        <v>0</v>
      </c>
      <c r="G15" s="77">
        <f t="shared" si="5"/>
        <v>0</v>
      </c>
      <c r="H15" s="77">
        <f t="shared" si="5"/>
        <v>0</v>
      </c>
      <c r="I15" s="77">
        <f t="shared" si="5"/>
        <v>0</v>
      </c>
      <c r="J15" s="77">
        <f t="shared" si="5"/>
        <v>0</v>
      </c>
      <c r="K15" s="77">
        <f t="shared" si="5"/>
        <v>0</v>
      </c>
      <c r="L15" s="77">
        <f t="shared" si="5"/>
        <v>0</v>
      </c>
      <c r="M15" s="77">
        <f t="shared" si="5"/>
        <v>0</v>
      </c>
      <c r="N15" s="77">
        <f t="shared" si="5"/>
        <v>0</v>
      </c>
      <c r="O15" s="77">
        <f t="shared" si="5"/>
        <v>0</v>
      </c>
      <c r="P15" s="77">
        <f t="shared" si="5"/>
        <v>0</v>
      </c>
      <c r="Q15" s="77">
        <f t="shared" si="5"/>
        <v>0</v>
      </c>
      <c r="R15" s="13"/>
      <c r="S15" s="69"/>
      <c r="AA15" s="14">
        <f t="shared" si="3"/>
        <v>0</v>
      </c>
    </row>
    <row r="16" spans="2:27" x14ac:dyDescent="0.2">
      <c r="B16" s="479"/>
      <c r="C16" s="10" t="s">
        <v>163</v>
      </c>
      <c r="D16" s="62">
        <f>SUMIFS('Перечень инв.проектов ТС'!O$5:O$48,'Перечень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E16" s="62">
        <f>SUMIFS('Перечень инв.проектов ТС'!P$5:P$48,'Перечень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F16" s="62">
        <f>SUMIFS('Перечень инв.проектов ТС'!Q$5:Q$48,'Перечень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G16" s="62">
        <f>SUMIFS('Перечень инв.проектов ТС'!R$5:R$48,'Перечень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H16" s="62">
        <f>SUMIFS('Перечень инв.проектов ТС'!S$5:S$48,'Перечень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I16" s="62">
        <f>SUMIFS('Перечень инв.проектов ТС'!T$5:T$48,'Перечень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J16" s="62">
        <f>SUMIFS('Перечень инв.проектов ТС'!U$5:U$48,'Перечень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K16" s="62">
        <f>SUMIFS('Перечень инв.проектов ТС'!V$5:V$48,'Перечень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L16" s="62">
        <f>SUMIFS('Перечень инв.проектов ТС'!W$5:W$48,'Перечень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M16" s="62">
        <f>SUMIFS('Перечень инв.проектов ТС'!X$5:X$48,'Перечень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N16" s="62">
        <f>SUMIFS('Перечень инв.проектов ТС'!Y$5:Y$48,'Перечень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O16" s="62">
        <f>SUMIFS('Перечень инв.проектов ТС'!Z$5:Z$48,'Перечень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P16" s="62">
        <f>SUMIFS('Перечень инв.проектов ТС'!AA$5:AA$48,'Перечень инв.проектов ТС'!$C$5:$C$48,'Программа инв. проектов'!$S16,'Перечень инв.проектов ТС'!$L$5:$L$48,$C16,'Перечень инв.проектов ТС'!$B$5:$B$48,'Программа инв. проектов'!$B$4)</f>
        <v>0</v>
      </c>
      <c r="Q16" s="62">
        <f>SUM(D16:P16)</f>
        <v>0</v>
      </c>
      <c r="R16" s="13"/>
      <c r="S16" s="69" t="s">
        <v>167</v>
      </c>
      <c r="AA16" s="14">
        <f t="shared" si="3"/>
        <v>0</v>
      </c>
    </row>
    <row r="17" spans="2:28" ht="25.5" x14ac:dyDescent="0.2">
      <c r="B17" s="479"/>
      <c r="C17" s="16" t="s">
        <v>166</v>
      </c>
      <c r="D17" s="62">
        <f>SUMIFS('Перечень инв.проектов ТС'!O$5:O$48,'Перечень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E17" s="62">
        <f>SUMIFS('Перечень инв.проектов ТС'!P$5:P$48,'Перечень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F17" s="62">
        <f>SUMIFS('Перечень инв.проектов ТС'!Q$5:Q$48,'Перечень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G17" s="62">
        <f>SUMIFS('Перечень инв.проектов ТС'!R$5:R$48,'Перечень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H17" s="62">
        <f>SUMIFS('Перечень инв.проектов ТС'!S$5:S$48,'Перечень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I17" s="62">
        <f>SUMIFS('Перечень инв.проектов ТС'!T$5:T$48,'Перечень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J17" s="62">
        <f>SUMIFS('Перечень инв.проектов ТС'!U$5:U$48,'Перечень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K17" s="62">
        <f>SUMIFS('Перечень инв.проектов ТС'!V$5:V$48,'Перечень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L17" s="62">
        <f>SUMIFS('Перечень инв.проектов ТС'!W$5:W$48,'Перечень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M17" s="62">
        <f>SUMIFS('Перечень инв.проектов ТС'!X$5:X$48,'Перечень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N17" s="62">
        <f>SUMIFS('Перечень инв.проектов ТС'!Y$5:Y$48,'Перечень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O17" s="62">
        <f>SUMIFS('Перечень инв.проектов ТС'!Z$5:Z$48,'Перечень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P17" s="62">
        <f>SUMIFS('Перечень инв.проектов ТС'!AA$5:AA$48,'Перечень инв.проектов ТС'!$C$5:$C$48,'Программа инв. проектов'!$S17,'Перечень инв.проектов ТС'!$L$5:$L$48,$C17,'Перечень инв.проектов ТС'!$B$5:$B$48,'Программа инв. проектов'!$B$4)</f>
        <v>0</v>
      </c>
      <c r="Q17" s="62">
        <f>SUM(D17:P17)</f>
        <v>0</v>
      </c>
      <c r="R17" s="13"/>
      <c r="S17" s="69" t="s">
        <v>167</v>
      </c>
      <c r="AA17" s="14">
        <f t="shared" si="3"/>
        <v>0</v>
      </c>
    </row>
    <row r="18" spans="2:28" x14ac:dyDescent="0.2">
      <c r="B18" s="479"/>
      <c r="C18" s="16" t="s">
        <v>155</v>
      </c>
      <c r="D18" s="62">
        <f>SUMIFS('Перечень инв.проектов ТС'!O$5:O$48,'Перечень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E18" s="62">
        <f>SUMIFS('Перечень инв.проектов ТС'!P$5:P$48,'Перечень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F18" s="62">
        <f>SUMIFS('Перечень инв.проектов ТС'!Q$5:Q$48,'Перечень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G18" s="62">
        <f>SUMIFS('Перечень инв.проектов ТС'!R$5:R$48,'Перечень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H18" s="62">
        <f>SUMIFS('Перечень инв.проектов ТС'!S$5:S$48,'Перечень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I18" s="62">
        <f>SUMIFS('Перечень инв.проектов ТС'!T$5:T$48,'Перечень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J18" s="62">
        <f>SUMIFS('Перечень инв.проектов ТС'!U$5:U$48,'Перечень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K18" s="62">
        <f>SUMIFS('Перечень инв.проектов ТС'!V$5:V$48,'Перечень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L18" s="62">
        <f>SUMIFS('Перечень инв.проектов ТС'!W$5:W$48,'Перечень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M18" s="62">
        <f>SUMIFS('Перечень инв.проектов ТС'!X$5:X$48,'Перечень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N18" s="62">
        <f>SUMIFS('Перечень инв.проектов ТС'!Y$5:Y$48,'Перечень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O18" s="62">
        <f>SUMIFS('Перечень инв.проектов ТС'!Z$5:Z$48,'Перечень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P18" s="62">
        <f>SUMIFS('Перечень инв.проектов ТС'!AA$5:AA$48,'Перечень инв.проектов ТС'!$C$5:$C$48,'Программа инв. проектов'!$S18,'Перечень инв.проектов ТС'!$L$5:$L$48,$C18,'Перечень инв.проектов ТС'!$B$5:$B$48,'Программа инв. проектов'!$B$4)</f>
        <v>0</v>
      </c>
      <c r="Q18" s="62">
        <f>SUM(D18:P18)</f>
        <v>0</v>
      </c>
      <c r="R18" s="13"/>
      <c r="S18" s="69" t="s">
        <v>167</v>
      </c>
      <c r="AA18" s="14">
        <f t="shared" si="3"/>
        <v>0</v>
      </c>
    </row>
    <row r="19" spans="2:28" x14ac:dyDescent="0.2">
      <c r="B19" s="479"/>
      <c r="C19" s="16" t="s">
        <v>310</v>
      </c>
      <c r="D19" s="62">
        <f>SUMIFS('Перечень инв.проектов ТС'!O$5:O$48,'Перечень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E19" s="62">
        <f>SUMIFS('Перечень инв.проектов ТС'!P$5:P$48,'Перечень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F19" s="62">
        <f>SUMIFS('Перечень инв.проектов ТС'!Q$5:Q$48,'Перечень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G19" s="62">
        <f>SUMIFS('Перечень инв.проектов ТС'!R$5:R$48,'Перечень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H19" s="62">
        <f>SUMIFS('Перечень инв.проектов ТС'!S$5:S$48,'Перечень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I19" s="62">
        <f>SUMIFS('Перечень инв.проектов ТС'!T$5:T$48,'Перечень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J19" s="62">
        <f>SUMIFS('Перечень инв.проектов ТС'!U$5:U$48,'Перечень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K19" s="62">
        <f>SUMIFS('Перечень инв.проектов ТС'!V$5:V$48,'Перечень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L19" s="62">
        <f>SUMIFS('Перечень инв.проектов ТС'!W$5:W$48,'Перечень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M19" s="62">
        <f>SUMIFS('Перечень инв.проектов ТС'!X$5:X$48,'Перечень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N19" s="62">
        <f>SUMIFS('Перечень инв.проектов ТС'!Y$5:Y$48,'Перечень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O19" s="62">
        <f>SUMIFS('Перечень инв.проектов ТС'!Z$5:Z$48,'Перечень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P19" s="62">
        <f>SUMIFS('Перечень инв.проектов ТС'!AA$5:AA$48,'Перечень инв.проектов ТС'!$C$5:$C$48,'Программа инв. проектов'!$S19,'Перечень инв.проектов ТС'!$L$5:$L$48,$C19,'Перечень инв.проектов ТС'!$B$5:$B$48,'Программа инв. проектов'!$B$4)</f>
        <v>0</v>
      </c>
      <c r="Q19" s="62">
        <f>SUM(D19:P19)</f>
        <v>0</v>
      </c>
      <c r="R19" s="13"/>
      <c r="S19" s="69" t="s">
        <v>167</v>
      </c>
      <c r="AA19" s="14">
        <f t="shared" si="3"/>
        <v>0</v>
      </c>
    </row>
    <row r="20" spans="2:28" x14ac:dyDescent="0.2">
      <c r="B20" s="479" t="s">
        <v>168</v>
      </c>
      <c r="C20" s="15" t="s">
        <v>216</v>
      </c>
      <c r="D20" s="77">
        <f t="shared" ref="D20:Q20" si="6">SUM(D21:D24)</f>
        <v>0</v>
      </c>
      <c r="E20" s="77">
        <f t="shared" si="6"/>
        <v>0</v>
      </c>
      <c r="F20" s="77">
        <f t="shared" si="6"/>
        <v>0</v>
      </c>
      <c r="G20" s="77">
        <f t="shared" si="6"/>
        <v>0</v>
      </c>
      <c r="H20" s="77">
        <f t="shared" si="6"/>
        <v>0</v>
      </c>
      <c r="I20" s="77">
        <f t="shared" si="6"/>
        <v>0</v>
      </c>
      <c r="J20" s="77">
        <f t="shared" si="6"/>
        <v>0</v>
      </c>
      <c r="K20" s="77">
        <f t="shared" si="6"/>
        <v>0</v>
      </c>
      <c r="L20" s="77">
        <f t="shared" si="6"/>
        <v>0</v>
      </c>
      <c r="M20" s="77">
        <f t="shared" si="6"/>
        <v>0</v>
      </c>
      <c r="N20" s="77">
        <f t="shared" si="6"/>
        <v>0</v>
      </c>
      <c r="O20" s="77">
        <f t="shared" si="6"/>
        <v>0</v>
      </c>
      <c r="P20" s="77">
        <f t="shared" si="6"/>
        <v>0</v>
      </c>
      <c r="Q20" s="77">
        <f t="shared" si="6"/>
        <v>0</v>
      </c>
      <c r="R20" s="13"/>
      <c r="S20" s="69"/>
      <c r="AA20" s="14">
        <f t="shared" si="3"/>
        <v>0</v>
      </c>
    </row>
    <row r="21" spans="2:28" x14ac:dyDescent="0.2">
      <c r="B21" s="479"/>
      <c r="C21" s="10" t="s">
        <v>163</v>
      </c>
      <c r="D21" s="62">
        <f>SUMIFS('Перечень инв.проектов ТС'!O$5:O$48,'Перечень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E21" s="62">
        <f>SUMIFS('Перечень инв.проектов ТС'!P$5:P$48,'Перечень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F21" s="62">
        <f>SUMIFS('Перечень инв.проектов ТС'!Q$5:Q$48,'Перечень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G21" s="62">
        <f>SUMIFS('Перечень инв.проектов ТС'!R$5:R$48,'Перечень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H21" s="62">
        <f>SUMIFS('Перечень инв.проектов ТС'!S$5:S$48,'Перечень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I21" s="62">
        <f>SUMIFS('Перечень инв.проектов ТС'!T$5:T$48,'Перечень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J21" s="62">
        <f>SUMIFS('Перечень инв.проектов ТС'!U$5:U$48,'Перечень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K21" s="62">
        <f>SUMIFS('Перечень инв.проектов ТС'!V$5:V$48,'Перечень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L21" s="62">
        <f>SUMIFS('Перечень инв.проектов ТС'!W$5:W$48,'Перечень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M21" s="62">
        <f>SUMIFS('Перечень инв.проектов ТС'!X$5:X$48,'Перечень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N21" s="62">
        <f>SUMIFS('Перечень инв.проектов ТС'!Y$5:Y$48,'Перечень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O21" s="62">
        <f>SUMIFS('Перечень инв.проектов ТС'!Z$5:Z$48,'Перечень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P21" s="62">
        <f>SUMIFS('Перечень инв.проектов ТС'!AA$5:AA$48,'Перечень инв.проектов ТС'!$C$5:$C$48,'Программа инв. проектов'!$S21,'Перечень инв.проектов ТС'!$L$5:$L$48,$C21,'Перечень инв.проектов ТС'!$B$5:$B$48,'Программа инв. проектов'!$B$4)</f>
        <v>0</v>
      </c>
      <c r="Q21" s="62">
        <f>SUM(D21:P21)</f>
        <v>0</v>
      </c>
      <c r="R21" s="13"/>
      <c r="S21" s="69" t="s">
        <v>168</v>
      </c>
      <c r="AA21" s="14">
        <f t="shared" si="3"/>
        <v>0</v>
      </c>
    </row>
    <row r="22" spans="2:28" ht="25.5" x14ac:dyDescent="0.2">
      <c r="B22" s="479"/>
      <c r="C22" s="16" t="s">
        <v>166</v>
      </c>
      <c r="D22" s="62">
        <f>SUMIFS('Перечень инв.проектов ТС'!O$5:O$48,'Перечень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E22" s="62">
        <f>SUMIFS('Перечень инв.проектов ТС'!P$5:P$48,'Перечень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F22" s="62">
        <f>SUMIFS('Перечень инв.проектов ТС'!Q$5:Q$48,'Перечень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G22" s="62">
        <f>SUMIFS('Перечень инв.проектов ТС'!R$5:R$48,'Перечень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H22" s="62">
        <f>SUMIFS('Перечень инв.проектов ТС'!S$5:S$48,'Перечень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I22" s="62">
        <f>SUMIFS('Перечень инв.проектов ТС'!T$5:T$48,'Перечень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J22" s="62">
        <f>SUMIFS('Перечень инв.проектов ТС'!U$5:U$48,'Перечень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K22" s="62">
        <f>SUMIFS('Перечень инв.проектов ТС'!V$5:V$48,'Перечень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L22" s="62">
        <f>SUMIFS('Перечень инв.проектов ТС'!W$5:W$48,'Перечень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M22" s="62">
        <f>SUMIFS('Перечень инв.проектов ТС'!X$5:X$48,'Перечень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N22" s="62">
        <f>SUMIFS('Перечень инв.проектов ТС'!Y$5:Y$48,'Перечень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O22" s="62">
        <f>SUMIFS('Перечень инв.проектов ТС'!Z$5:Z$48,'Перечень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P22" s="62">
        <f>SUMIFS('Перечень инв.проектов ТС'!AA$5:AA$48,'Перечень инв.проектов ТС'!$C$5:$C$48,'Программа инв. проектов'!$S22,'Перечень инв.проектов ТС'!$L$5:$L$48,$C22,'Перечень инв.проектов ТС'!$B$5:$B$48,'Программа инв. проектов'!$B$4)</f>
        <v>0</v>
      </c>
      <c r="Q22" s="62">
        <f>SUM(D22:P22)</f>
        <v>0</v>
      </c>
      <c r="R22" s="13"/>
      <c r="S22" s="69" t="s">
        <v>168</v>
      </c>
      <c r="AA22" s="14">
        <f t="shared" si="3"/>
        <v>0</v>
      </c>
    </row>
    <row r="23" spans="2:28" x14ac:dyDescent="0.2">
      <c r="B23" s="479"/>
      <c r="C23" s="16" t="s">
        <v>155</v>
      </c>
      <c r="D23" s="62">
        <f>SUMIFS('Перечень инв.проектов ТС'!O$5:O$48,'Перечень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E23" s="62">
        <f>SUMIFS('Перечень инв.проектов ТС'!P$5:P$48,'Перечень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F23" s="62">
        <f>SUMIFS('Перечень инв.проектов ТС'!Q$5:Q$48,'Перечень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G23" s="62">
        <f>SUMIFS('Перечень инв.проектов ТС'!R$5:R$48,'Перечень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H23" s="62">
        <f>SUMIFS('Перечень инв.проектов ТС'!S$5:S$48,'Перечень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I23" s="62">
        <f>SUMIFS('Перечень инв.проектов ТС'!T$5:T$48,'Перечень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J23" s="62">
        <f>SUMIFS('Перечень инв.проектов ТС'!U$5:U$48,'Перечень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K23" s="62">
        <f>SUMIFS('Перечень инв.проектов ТС'!V$5:V$48,'Перечень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L23" s="62">
        <f>SUMIFS('Перечень инв.проектов ТС'!W$5:W$48,'Перечень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M23" s="62">
        <f>SUMIFS('Перечень инв.проектов ТС'!X$5:X$48,'Перечень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N23" s="62">
        <f>SUMIFS('Перечень инв.проектов ТС'!Y$5:Y$48,'Перечень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O23" s="62">
        <f>SUMIFS('Перечень инв.проектов ТС'!Z$5:Z$48,'Перечень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P23" s="62">
        <f>SUMIFS('Перечень инв.проектов ТС'!AA$5:AA$48,'Перечень инв.проектов ТС'!$C$5:$C$48,'Программа инв. проектов'!$S23,'Перечень инв.проектов ТС'!$L$5:$L$48,$C23,'Перечень инв.проектов ТС'!$B$5:$B$48,'Программа инв. проектов'!$B$4)</f>
        <v>0</v>
      </c>
      <c r="Q23" s="62">
        <f>SUM(D23:P23)</f>
        <v>0</v>
      </c>
      <c r="R23" s="13"/>
      <c r="S23" s="69" t="s">
        <v>168</v>
      </c>
      <c r="AA23" s="14">
        <f t="shared" si="3"/>
        <v>0</v>
      </c>
    </row>
    <row r="24" spans="2:28" x14ac:dyDescent="0.2">
      <c r="B24" s="479"/>
      <c r="C24" s="16" t="s">
        <v>310</v>
      </c>
      <c r="D24" s="62">
        <f>SUMIFS('Перечень инв.проектов ТС'!O$5:O$48,'Перечень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E24" s="62">
        <f>SUMIFS('Перечень инв.проектов ТС'!P$5:P$48,'Перечень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F24" s="62">
        <f>SUMIFS('Перечень инв.проектов ТС'!Q$5:Q$48,'Перечень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G24" s="62">
        <f>SUMIFS('Перечень инв.проектов ТС'!R$5:R$48,'Перечень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H24" s="62">
        <f>SUMIFS('Перечень инв.проектов ТС'!S$5:S$48,'Перечень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I24" s="62">
        <f>SUMIFS('Перечень инв.проектов ТС'!T$5:T$48,'Перечень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J24" s="62">
        <f>SUMIFS('Перечень инв.проектов ТС'!U$5:U$48,'Перечень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K24" s="62">
        <f>SUMIFS('Перечень инв.проектов ТС'!V$5:V$48,'Перечень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L24" s="62">
        <f>SUMIFS('Перечень инв.проектов ТС'!W$5:W$48,'Перечень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M24" s="62">
        <f>SUMIFS('Перечень инв.проектов ТС'!X$5:X$48,'Перечень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N24" s="62">
        <f>SUMIFS('Перечень инв.проектов ТС'!Y$5:Y$48,'Перечень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O24" s="62">
        <f>SUMIFS('Перечень инв.проектов ТС'!Z$5:Z$48,'Перечень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P24" s="62">
        <f>SUMIFS('Перечень инв.проектов ТС'!AA$5:AA$48,'Перечень инв.проектов ТС'!$C$5:$C$48,'Программа инв. проектов'!$S24,'Перечень инв.проектов ТС'!$L$5:$L$48,$C24,'Перечень инв.проектов ТС'!$B$5:$B$48,'Программа инв. проектов'!$B$4)</f>
        <v>0</v>
      </c>
      <c r="Q24" s="62">
        <f>SUM(D24:P24)</f>
        <v>0</v>
      </c>
      <c r="R24" s="13"/>
      <c r="S24" s="69" t="s">
        <v>168</v>
      </c>
      <c r="AA24" s="14">
        <f t="shared" si="3"/>
        <v>0</v>
      </c>
    </row>
    <row r="25" spans="2:28" x14ac:dyDescent="0.2">
      <c r="B25" s="479" t="s">
        <v>218</v>
      </c>
      <c r="C25" s="15" t="s">
        <v>216</v>
      </c>
      <c r="D25" s="77">
        <f t="shared" ref="D25:P25" si="7">SUM(D26:D28)</f>
        <v>27477.4</v>
      </c>
      <c r="E25" s="77">
        <f t="shared" si="7"/>
        <v>126792.01471157232</v>
      </c>
      <c r="F25" s="77">
        <f t="shared" si="7"/>
        <v>1157566.7082873862</v>
      </c>
      <c r="G25" s="77">
        <f t="shared" si="7"/>
        <v>1103202.5203942945</v>
      </c>
      <c r="H25" s="77">
        <f t="shared" si="7"/>
        <v>770695.05314069986</v>
      </c>
      <c r="I25" s="77">
        <f t="shared" si="7"/>
        <v>446120</v>
      </c>
      <c r="J25" s="77">
        <f t="shared" si="7"/>
        <v>449980.30346604728</v>
      </c>
      <c r="K25" s="77">
        <f t="shared" si="7"/>
        <v>0</v>
      </c>
      <c r="L25" s="77">
        <f t="shared" si="7"/>
        <v>0</v>
      </c>
      <c r="M25" s="77">
        <f t="shared" si="7"/>
        <v>0</v>
      </c>
      <c r="N25" s="77">
        <f t="shared" si="7"/>
        <v>0</v>
      </c>
      <c r="O25" s="77">
        <f t="shared" si="7"/>
        <v>0</v>
      </c>
      <c r="P25" s="77">
        <f t="shared" si="7"/>
        <v>0</v>
      </c>
      <c r="Q25" s="77">
        <f>SUM(Q26:Q28)</f>
        <v>4081834</v>
      </c>
      <c r="R25" s="13"/>
      <c r="S25" s="69"/>
      <c r="AA25" s="14">
        <f t="shared" si="3"/>
        <v>4081834</v>
      </c>
    </row>
    <row r="26" spans="2:28" ht="25.5" x14ac:dyDescent="0.2">
      <c r="B26" s="479"/>
      <c r="C26" s="16" t="s">
        <v>219</v>
      </c>
      <c r="D26" s="62">
        <f>SUMIFS('Перечень инв.проектов ТС'!O$5:O$48,'Перечень инв.проектов ТС'!$D$5:$D$48,'Программа инв. проектов'!$S26,'Перечень инв.проектов ТС'!$B$5:$B$48,'Программа инв. проектов'!$B$4)</f>
        <v>0</v>
      </c>
      <c r="E26" s="62">
        <f>SUMIFS('Перечень инв.проектов ТС'!P$5:P$48,'Перечень инв.проектов ТС'!$D$5:$D$48,'Программа инв. проектов'!$S26,'Перечень инв.проектов ТС'!$B$5:$B$48,'Программа инв. проектов'!$B$4)</f>
        <v>2832.0147115723285</v>
      </c>
      <c r="F26" s="62">
        <f>SUMIFS('Перечень инв.проектов ТС'!Q$5:Q$48,'Перечень инв.проектов ТС'!$D$5:$D$48,'Программа инв. проектов'!$S26,'Перечень инв.проектов ТС'!$B$5:$B$48,'Программа инв. проектов'!$B$4)</f>
        <v>0</v>
      </c>
      <c r="G26" s="62">
        <f>SUMIFS('Перечень инв.проектов ТС'!R$5:R$48,'Перечень инв.проектов ТС'!$D$5:$D$48,'Программа инв. проектов'!$S26,'Перечень инв.проектов ТС'!$B$5:$B$48,'Программа инв. проектов'!$B$4)</f>
        <v>0</v>
      </c>
      <c r="H26" s="62">
        <f>SUMIFS('Перечень инв.проектов ТС'!S$5:S$48,'Перечень инв.проектов ТС'!$D$5:$D$48,'Программа инв. проектов'!$S26,'Перечень инв.проектов ТС'!$B$5:$B$48,'Программа инв. проектов'!$B$4)</f>
        <v>0</v>
      </c>
      <c r="I26" s="62">
        <f>SUMIFS('Перечень инв.проектов ТС'!T$5:T$48,'Перечень инв.проектов ТС'!$D$5:$D$48,'Программа инв. проектов'!$S26,'Перечень инв.проектов ТС'!$B$5:$B$48,'Программа инв. проектов'!$B$4)</f>
        <v>0</v>
      </c>
      <c r="J26" s="62">
        <f>SUMIFS('Перечень инв.проектов ТС'!U$5:U$48,'Перечень инв.проектов ТС'!$D$5:$D$48,'Программа инв. проектов'!$S26,'Перечень инв.проектов ТС'!$B$5:$B$48,'Программа инв. проектов'!$B$4)</f>
        <v>0</v>
      </c>
      <c r="K26" s="62">
        <f>SUMIFS('Перечень инв.проектов ТС'!V$5:V$48,'Перечень инв.проектов ТС'!$D$5:$D$48,'Программа инв. проектов'!$S26,'Перечень инв.проектов ТС'!$B$5:$B$48,'Программа инв. проектов'!$B$4)</f>
        <v>0</v>
      </c>
      <c r="L26" s="62">
        <f>SUMIFS('Перечень инв.проектов ТС'!W$5:W$48,'Перечень инв.проектов ТС'!$D$5:$D$48,'Программа инв. проектов'!$S26,'Перечень инв.проектов ТС'!$B$5:$B$48,'Программа инв. проектов'!$B$4)</f>
        <v>0</v>
      </c>
      <c r="M26" s="62">
        <f>SUMIFS('Перечень инв.проектов ТС'!X$5:X$48,'Перечень инв.проектов ТС'!$D$5:$D$48,'Программа инв. проектов'!$S26,'Перечень инв.проектов ТС'!$B$5:$B$48,'Программа инв. проектов'!$B$4)</f>
        <v>0</v>
      </c>
      <c r="N26" s="62">
        <f>SUMIFS('Перечень инв.проектов ТС'!Y$5:Y$48,'Перечень инв.проектов ТС'!$D$5:$D$48,'Программа инв. проектов'!$S26,'Перечень инв.проектов ТС'!$B$5:$B$48,'Программа инв. проектов'!$B$4)</f>
        <v>0</v>
      </c>
      <c r="O26" s="62">
        <f>SUMIFS('Перечень инв.проектов ТС'!Z$5:Z$48,'Перечень инв.проектов ТС'!$D$5:$D$48,'Программа инв. проектов'!$S26,'Перечень инв.проектов ТС'!$B$5:$B$48,'Программа инв. проектов'!$B$4)</f>
        <v>0</v>
      </c>
      <c r="P26" s="62">
        <f>SUMIFS('Перечень инв.проектов ТС'!AA$5:AA$48,'Перечень инв.проектов ТС'!$D$5:$D$48,'Программа инв. проектов'!$S26,'Перечень инв.проектов ТС'!$B$5:$B$48,'Программа инв. проектов'!$B$4)</f>
        <v>0</v>
      </c>
      <c r="Q26" s="62">
        <f>SUM(D26:P26)</f>
        <v>2832.0147115723285</v>
      </c>
      <c r="R26" s="13"/>
      <c r="S26" s="69" t="s">
        <v>154</v>
      </c>
      <c r="AA26" s="14">
        <f t="shared" si="3"/>
        <v>2832.0147115723285</v>
      </c>
    </row>
    <row r="27" spans="2:28" ht="25.5" x14ac:dyDescent="0.2">
      <c r="B27" s="479"/>
      <c r="C27" s="16" t="s">
        <v>220</v>
      </c>
      <c r="D27" s="62">
        <f>SUMIFS('Перечень инв.проектов ТС'!O$5:O$48,'Перечень инв.проектов ТС'!$D$5:$D$48,'Программа инв. проектов'!$S27,'Перечень инв.проектов ТС'!$B$5:$B$48,'Программа инв. проектов'!$B$4)</f>
        <v>0</v>
      </c>
      <c r="E27" s="62">
        <f>SUMIFS('Перечень инв.проектов ТС'!P$5:P$48,'Перечень инв.проектов ТС'!$D$5:$D$48,'Программа инв. проектов'!$S27,'Перечень инв.проектов ТС'!$B$5:$B$48,'Программа инв. проектов'!$B$4)</f>
        <v>0</v>
      </c>
      <c r="F27" s="62">
        <f>SUMIFS('Перечень инв.проектов ТС'!Q$5:Q$48,'Перечень инв.проектов ТС'!$D$5:$D$48,'Программа инв. проектов'!$S27,'Перечень инв.проектов ТС'!$B$5:$B$48,'Программа инв. проектов'!$B$4)</f>
        <v>856676.70828738611</v>
      </c>
      <c r="G27" s="62">
        <f>SUMIFS('Перечень инв.проектов ТС'!R$5:R$48,'Перечень инв.проектов ТС'!$D$5:$D$48,'Программа инв. проектов'!$S27,'Перечень инв.проектов ТС'!$B$5:$B$48,'Программа инв. проектов'!$B$4)</f>
        <v>854992.52039429452</v>
      </c>
      <c r="H27" s="62">
        <f>SUMIFS('Перечень инв.проектов ТС'!S$5:S$48,'Перечень инв.проектов ТС'!$D$5:$D$48,'Программа инв. проектов'!$S27,'Перечень инв.проектов ТС'!$B$5:$B$48,'Программа инв. проектов'!$B$4)</f>
        <v>447605.05314069992</v>
      </c>
      <c r="I27" s="62">
        <f>SUMIFS('Перечень инв.проектов ТС'!T$5:T$48,'Перечень инв.проектов ТС'!$D$5:$D$48,'Программа инв. проектов'!$S27,'Перечень инв.проектов ТС'!$B$5:$B$48,'Программа инв. проектов'!$B$4)</f>
        <v>135360</v>
      </c>
      <c r="J27" s="62">
        <f>SUMIFS('Перечень инв.проектов ТС'!U$5:U$48,'Перечень инв.проектов ТС'!$D$5:$D$48,'Программа инв. проектов'!$S27,'Перечень инв.проектов ТС'!$B$5:$B$48,'Программа инв. проектов'!$B$4)</f>
        <v>349980.30346604728</v>
      </c>
      <c r="K27" s="62">
        <f>SUMIFS('Перечень инв.проектов ТС'!V$5:V$48,'Перечень инв.проектов ТС'!$D$5:$D$48,'Программа инв. проектов'!$S27,'Перечень инв.проектов ТС'!$B$5:$B$48,'Программа инв. проектов'!$B$4)</f>
        <v>0</v>
      </c>
      <c r="L27" s="62">
        <f>SUMIFS('Перечень инв.проектов ТС'!W$5:W$48,'Перечень инв.проектов ТС'!$D$5:$D$48,'Программа инв. проектов'!$S27,'Перечень инв.проектов ТС'!$B$5:$B$48,'Программа инв. проектов'!$B$4)</f>
        <v>0</v>
      </c>
      <c r="M27" s="62">
        <f>SUMIFS('Перечень инв.проектов ТС'!X$5:X$48,'Перечень инв.проектов ТС'!$D$5:$D$48,'Программа инв. проектов'!$S27,'Перечень инв.проектов ТС'!$B$5:$B$48,'Программа инв. проектов'!$B$4)</f>
        <v>0</v>
      </c>
      <c r="N27" s="62">
        <f>SUMIFS('Перечень инв.проектов ТС'!Y$5:Y$48,'Перечень инв.проектов ТС'!$D$5:$D$48,'Программа инв. проектов'!$S27,'Перечень инв.проектов ТС'!$B$5:$B$48,'Программа инв. проектов'!$B$4)</f>
        <v>0</v>
      </c>
      <c r="O27" s="62">
        <f>SUMIFS('Перечень инв.проектов ТС'!Z$5:Z$48,'Перечень инв.проектов ТС'!$D$5:$D$48,'Программа инв. проектов'!$S27,'Перечень инв.проектов ТС'!$B$5:$B$48,'Программа инв. проектов'!$B$4)</f>
        <v>0</v>
      </c>
      <c r="P27" s="62">
        <f>SUMIFS('Перечень инв.проектов ТС'!AA$5:AA$48,'Перечень инв.проектов ТС'!$D$5:$D$48,'Программа инв. проектов'!$S27,'Перечень инв.проектов ТС'!$B$5:$B$48,'Программа инв. проектов'!$B$4)</f>
        <v>0</v>
      </c>
      <c r="Q27" s="62">
        <f>SUM(D27:P27)</f>
        <v>2644614.5852884278</v>
      </c>
      <c r="R27" s="13"/>
      <c r="S27" s="69" t="s">
        <v>162</v>
      </c>
      <c r="AA27" s="14">
        <f t="shared" si="3"/>
        <v>2644614.5852884278</v>
      </c>
    </row>
    <row r="28" spans="2:28" ht="25.5" x14ac:dyDescent="0.2">
      <c r="B28" s="479"/>
      <c r="C28" s="16" t="s">
        <v>221</v>
      </c>
      <c r="D28" s="62">
        <f>SUMIFS('Перечень инв.проектов ТС'!O$5:O$48,'Перечень инв.проектов ТС'!$D$5:$D$48,'Программа инв. проектов'!$S28,'Перечень инв.проектов ТС'!$B$5:$B$48,'Программа инв. проектов'!$B$4)</f>
        <v>27477.4</v>
      </c>
      <c r="E28" s="62">
        <f>SUMIFS('Перечень инв.проектов ТС'!P$5:P$48,'Перечень инв.проектов ТС'!$D$5:$D$48,'Программа инв. проектов'!$S28,'Перечень инв.проектов ТС'!$B$5:$B$48,'Программа инв. проектов'!$B$4)</f>
        <v>123960</v>
      </c>
      <c r="F28" s="62">
        <f>SUMIFS('Перечень инв.проектов ТС'!Q$5:Q$48,'Перечень инв.проектов ТС'!$D$5:$D$48,'Программа инв. проектов'!$S28,'Перечень инв.проектов ТС'!$B$5:$B$48,'Программа инв. проектов'!$B$4)</f>
        <v>300890</v>
      </c>
      <c r="G28" s="62">
        <f>SUMIFS('Перечень инв.проектов ТС'!R$5:R$48,'Перечень инв.проектов ТС'!$D$5:$D$48,'Программа инв. проектов'!$S28,'Перечень инв.проектов ТС'!$B$5:$B$48,'Программа инв. проектов'!$B$4)</f>
        <v>248210</v>
      </c>
      <c r="H28" s="62">
        <f>SUMIFS('Перечень инв.проектов ТС'!S$5:S$48,'Перечень инв.проектов ТС'!$D$5:$D$48,'Программа инв. проектов'!$S28,'Перечень инв.проектов ТС'!$B$5:$B$48,'Программа инв. проектов'!$B$4)</f>
        <v>323090</v>
      </c>
      <c r="I28" s="62">
        <f>SUMIFS('Перечень инв.проектов ТС'!T$5:T$48,'Перечень инв.проектов ТС'!$D$5:$D$48,'Программа инв. проектов'!$S28,'Перечень инв.проектов ТС'!$B$5:$B$48,'Программа инв. проектов'!$B$4)</f>
        <v>310760</v>
      </c>
      <c r="J28" s="62">
        <f>SUMIFS('Перечень инв.проектов ТС'!U$5:U$48,'Перечень инв.проектов ТС'!$D$5:$D$48,'Программа инв. проектов'!$S28,'Перечень инв.проектов ТС'!$B$5:$B$48,'Программа инв. проектов'!$B$4)</f>
        <v>100000</v>
      </c>
      <c r="K28" s="62">
        <f>SUMIFS('Перечень инв.проектов ТС'!V$5:V$48,'Перечень инв.проектов ТС'!$D$5:$D$48,'Программа инв. проектов'!$S28,'Перечень инв.проектов ТС'!$B$5:$B$48,'Программа инв. проектов'!$B$4)</f>
        <v>0</v>
      </c>
      <c r="L28" s="62">
        <f>SUMIFS('Перечень инв.проектов ТС'!W$5:W$48,'Перечень инв.проектов ТС'!$D$5:$D$48,'Программа инв. проектов'!$S28,'Перечень инв.проектов ТС'!$B$5:$B$48,'Программа инв. проектов'!$B$4)</f>
        <v>0</v>
      </c>
      <c r="M28" s="62">
        <f>SUMIFS('Перечень инв.проектов ТС'!X$5:X$48,'Перечень инв.проектов ТС'!$D$5:$D$48,'Программа инв. проектов'!$S28,'Перечень инв.проектов ТС'!$B$5:$B$48,'Программа инв. проектов'!$B$4)</f>
        <v>0</v>
      </c>
      <c r="N28" s="62">
        <f>SUMIFS('Перечень инв.проектов ТС'!Y$5:Y$48,'Перечень инв.проектов ТС'!$D$5:$D$48,'Программа инв. проектов'!$S28,'Перечень инв.проектов ТС'!$B$5:$B$48,'Программа инв. проектов'!$B$4)</f>
        <v>0</v>
      </c>
      <c r="O28" s="62">
        <f>SUMIFS('Перечень инв.проектов ТС'!Z$5:Z$48,'Перечень инв.проектов ТС'!$D$5:$D$48,'Программа инв. проектов'!$S28,'Перечень инв.проектов ТС'!$B$5:$B$48,'Программа инв. проектов'!$B$4)</f>
        <v>0</v>
      </c>
      <c r="P28" s="62">
        <f>SUMIFS('Перечень инв.проектов ТС'!AA$5:AA$48,'Перечень инв.проектов ТС'!$D$5:$D$48,'Программа инв. проектов'!$S28,'Перечень инв.проектов ТС'!$B$5:$B$48,'Программа инв. проектов'!$B$4)</f>
        <v>0</v>
      </c>
      <c r="Q28" s="62">
        <f>SUM(D28:P28)</f>
        <v>1434387.4</v>
      </c>
      <c r="R28" s="13"/>
      <c r="S28" s="69" t="s">
        <v>165</v>
      </c>
      <c r="AA28" s="14">
        <f t="shared" si="3"/>
        <v>1434387.4</v>
      </c>
    </row>
    <row r="29" spans="2:28" ht="13.5" x14ac:dyDescent="0.2">
      <c r="B29" s="477" t="s">
        <v>199</v>
      </c>
      <c r="C29" s="477"/>
      <c r="D29" s="52">
        <f>SUM(D30)</f>
        <v>47711</v>
      </c>
      <c r="E29" s="52">
        <f>SUM(E30)</f>
        <v>312059.91615478881</v>
      </c>
      <c r="F29" s="52">
        <f>SUM(F30)</f>
        <v>348624.68468579603</v>
      </c>
      <c r="G29" s="52">
        <f>SUM(G30)</f>
        <v>304659.95329480909</v>
      </c>
      <c r="H29" s="52">
        <f t="shared" ref="H29:P29" si="8">SUM(H30)</f>
        <v>104423.65764849125</v>
      </c>
      <c r="I29" s="52">
        <f t="shared" si="8"/>
        <v>107444.7928483049</v>
      </c>
      <c r="J29" s="52">
        <f t="shared" si="8"/>
        <v>111742.5845622371</v>
      </c>
      <c r="K29" s="52">
        <f t="shared" si="8"/>
        <v>116212.28794472659</v>
      </c>
      <c r="L29" s="52">
        <f t="shared" si="8"/>
        <v>63637.330331459983</v>
      </c>
      <c r="M29" s="52">
        <f t="shared" si="8"/>
        <v>62609.562091815897</v>
      </c>
      <c r="N29" s="52">
        <f t="shared" si="8"/>
        <v>65113.944575488531</v>
      </c>
      <c r="O29" s="52">
        <f t="shared" si="8"/>
        <v>67718.502358508078</v>
      </c>
      <c r="P29" s="52">
        <f t="shared" si="8"/>
        <v>70427.242452848397</v>
      </c>
      <c r="Q29" s="77">
        <f t="shared" ref="Q29:Q37" si="9">SUM(D29:P29)</f>
        <v>1782385.4589492748</v>
      </c>
      <c r="R29" s="93">
        <f>'Перечень инв.проектов ВС'!Y31</f>
        <v>1782385.4589492748</v>
      </c>
      <c r="S29" s="69"/>
      <c r="AB29" s="17"/>
    </row>
    <row r="30" spans="2:28" ht="13.5" x14ac:dyDescent="0.2">
      <c r="B30" s="478" t="s">
        <v>575</v>
      </c>
      <c r="C30" s="478"/>
      <c r="D30" s="52">
        <f>SUM(D31,D36,D41,D51,D46)</f>
        <v>47711</v>
      </c>
      <c r="E30" s="52">
        <f>SUM(E31,E36,E41,E51,E46)</f>
        <v>312059.91615478881</v>
      </c>
      <c r="F30" s="52">
        <f>SUM(F31,F36,F41,F51,F46)</f>
        <v>348624.68468579603</v>
      </c>
      <c r="G30" s="52">
        <f>SUM(G31,G36,G41,G51,G46)</f>
        <v>304659.95329480909</v>
      </c>
      <c r="H30" s="52">
        <f t="shared" ref="H30:P30" si="10">SUM(H31,H36,H41,H51,H46)</f>
        <v>104423.65764849125</v>
      </c>
      <c r="I30" s="52">
        <f t="shared" si="10"/>
        <v>107444.7928483049</v>
      </c>
      <c r="J30" s="52">
        <f t="shared" si="10"/>
        <v>111742.5845622371</v>
      </c>
      <c r="K30" s="52">
        <f t="shared" si="10"/>
        <v>116212.28794472659</v>
      </c>
      <c r="L30" s="52">
        <f t="shared" si="10"/>
        <v>63637.330331459983</v>
      </c>
      <c r="M30" s="52">
        <f t="shared" si="10"/>
        <v>62609.562091815897</v>
      </c>
      <c r="N30" s="52">
        <f t="shared" si="10"/>
        <v>65113.944575488531</v>
      </c>
      <c r="O30" s="52">
        <f t="shared" si="10"/>
        <v>67718.502358508078</v>
      </c>
      <c r="P30" s="52">
        <f t="shared" si="10"/>
        <v>70427.242452848397</v>
      </c>
      <c r="Q30" s="77">
        <f t="shared" si="9"/>
        <v>1782385.4589492748</v>
      </c>
      <c r="R30" s="93">
        <f>Q30-Q56</f>
        <v>0</v>
      </c>
      <c r="S30" s="69"/>
      <c r="AB30" s="17"/>
    </row>
    <row r="31" spans="2:28" x14ac:dyDescent="0.2">
      <c r="B31" s="479" t="s">
        <v>153</v>
      </c>
      <c r="C31" s="73" t="s">
        <v>216</v>
      </c>
      <c r="D31" s="77">
        <f t="shared" ref="D31:G31" si="11">SUM(D32:D35)</f>
        <v>0</v>
      </c>
      <c r="E31" s="77">
        <f t="shared" si="11"/>
        <v>45698.32619804838</v>
      </c>
      <c r="F31" s="77">
        <f t="shared" si="11"/>
        <v>47578.121510351535</v>
      </c>
      <c r="G31" s="77">
        <f t="shared" si="11"/>
        <v>49481.246370765599</v>
      </c>
      <c r="H31" s="77">
        <f t="shared" ref="H31:P31" si="12">SUM(H32:H35)</f>
        <v>51460.496225596224</v>
      </c>
      <c r="I31" s="77">
        <f t="shared" si="12"/>
        <v>53518.916074620072</v>
      </c>
      <c r="J31" s="77">
        <f t="shared" si="12"/>
        <v>55659.672717604881</v>
      </c>
      <c r="K31" s="77">
        <f t="shared" si="12"/>
        <v>57886.059626309077</v>
      </c>
      <c r="L31" s="77">
        <f t="shared" si="12"/>
        <v>60201.502011361437</v>
      </c>
      <c r="M31" s="77">
        <f t="shared" si="12"/>
        <v>62609.562091815897</v>
      </c>
      <c r="N31" s="77">
        <f t="shared" si="12"/>
        <v>65113.944575488531</v>
      </c>
      <c r="O31" s="77">
        <f t="shared" si="12"/>
        <v>67718.502358508078</v>
      </c>
      <c r="P31" s="77">
        <f t="shared" si="12"/>
        <v>70427.242452848397</v>
      </c>
      <c r="Q31" s="77">
        <f t="shared" si="9"/>
        <v>687353.5922133181</v>
      </c>
      <c r="R31" s="13"/>
      <c r="S31" s="69"/>
      <c r="AB31" s="17"/>
    </row>
    <row r="32" spans="2:28" x14ac:dyDescent="0.2">
      <c r="B32" s="479"/>
      <c r="C32" s="10" t="s">
        <v>163</v>
      </c>
      <c r="D32" s="79">
        <f>SUMIFS('Перечень инв.проектов ВС'!L$4:L$223,'Перечень инв.проектов ВС'!$C$4:$C$223,$S32,'Перечень инв.проектов ВС'!$I$4:$I$223,$C32)</f>
        <v>0</v>
      </c>
      <c r="E32" s="79">
        <f>SUMIFS('Перечень инв.проектов ВС'!M$4:M$223,'Перечень инв.проектов ВС'!$C$4:$C$223,$S32,'Перечень инв.проектов ВС'!$I$4:$I$223,$C32)</f>
        <v>0</v>
      </c>
      <c r="F32" s="79">
        <f>SUMIFS('Перечень инв.проектов ВС'!N$4:N$223,'Перечень инв.проектов ВС'!$C$4:$C$223,$S32,'Перечень инв.проектов ВС'!$I$4:$I$223,$C32)</f>
        <v>0</v>
      </c>
      <c r="G32" s="79">
        <f>SUMIFS('Перечень инв.проектов ВС'!O$4:O$223,'Перечень инв.проектов ВС'!$C$4:$C$223,$S32,'Перечень инв.проектов ВС'!$I$4:$I$223,$C32)</f>
        <v>0</v>
      </c>
      <c r="H32" s="79">
        <f>SUMIFS('Перечень инв.проектов ВС'!P$4:P$223,'Перечень инв.проектов ВС'!$C$4:$C$223,$S32,'Перечень инв.проектов ВС'!$I$4:$I$223,$C32)</f>
        <v>0</v>
      </c>
      <c r="I32" s="79">
        <f>SUMIFS('Перечень инв.проектов ВС'!Q$4:Q$223,'Перечень инв.проектов ВС'!$C$4:$C$223,$S32,'Перечень инв.проектов ВС'!$I$4:$I$223,$C32)</f>
        <v>0</v>
      </c>
      <c r="J32" s="79">
        <f>SUMIFS('Перечень инв.проектов ВС'!R$4:R$223,'Перечень инв.проектов ВС'!$C$4:$C$223,$S32,'Перечень инв.проектов ВС'!$I$4:$I$223,$C32)</f>
        <v>0</v>
      </c>
      <c r="K32" s="79">
        <f>SUMIFS('Перечень инв.проектов ВС'!S$4:S$223,'Перечень инв.проектов ВС'!$C$4:$C$223,$S32,'Перечень инв.проектов ВС'!$I$4:$I$223,$C32)</f>
        <v>0</v>
      </c>
      <c r="L32" s="79">
        <f>SUMIFS('Перечень инв.проектов ВС'!T$4:T$223,'Перечень инв.проектов ВС'!$C$4:$C$223,$S32,'Перечень инв.проектов ВС'!$I$4:$I$223,$C32)</f>
        <v>0</v>
      </c>
      <c r="M32" s="79">
        <f>SUMIFS('Перечень инв.проектов ВС'!U$4:U$223,'Перечень инв.проектов ВС'!$C$4:$C$223,$S32,'Перечень инв.проектов ВС'!$I$4:$I$223,$C32)</f>
        <v>0</v>
      </c>
      <c r="N32" s="79">
        <f>SUMIFS('Перечень инв.проектов ВС'!V$4:V$223,'Перечень инв.проектов ВС'!$C$4:$C$223,$S32,'Перечень инв.проектов ВС'!$I$4:$I$223,$C32)</f>
        <v>0</v>
      </c>
      <c r="O32" s="79">
        <f>SUMIFS('Перечень инв.проектов ВС'!W$4:W$223,'Перечень инв.проектов ВС'!$C$4:$C$223,$S32,'Перечень инв.проектов ВС'!$I$4:$I$223,$C32)</f>
        <v>0</v>
      </c>
      <c r="P32" s="79">
        <f>SUMIFS('Перечень инв.проектов ВС'!X$4:X$223,'Перечень инв.проектов ВС'!$C$4:$C$223,$S32,'Перечень инв.проектов ВС'!$I$4:$I$223,$C32)</f>
        <v>0</v>
      </c>
      <c r="Q32" s="79">
        <f t="shared" si="9"/>
        <v>0</v>
      </c>
      <c r="R32" s="13"/>
      <c r="S32" s="69" t="s">
        <v>153</v>
      </c>
      <c r="AB32" s="17"/>
    </row>
    <row r="33" spans="2:28" ht="25.5" x14ac:dyDescent="0.2">
      <c r="B33" s="479"/>
      <c r="C33" s="16" t="s">
        <v>166</v>
      </c>
      <c r="D33" s="79">
        <f>SUMIFS('Перечень инв.проектов ВС'!L$4:L$223,'Перечень инв.проектов ВС'!$C$4:$C$223,$S33,'Перечень инв.проектов ВС'!$I$4:$I$223,$C33)</f>
        <v>0</v>
      </c>
      <c r="E33" s="79">
        <f>SUMIFS('Перечень инв.проектов ВС'!M$4:M$223,'Перечень инв.проектов ВС'!$C$4:$C$223,$S33,'Перечень инв.проектов ВС'!$I$4:$I$223,$C33)</f>
        <v>0</v>
      </c>
      <c r="F33" s="79">
        <f>SUMIFS('Перечень инв.проектов ВС'!N$4:N$223,'Перечень инв.проектов ВС'!$C$4:$C$223,$S33,'Перечень инв.проектов ВС'!$I$4:$I$223,$C33)</f>
        <v>0</v>
      </c>
      <c r="G33" s="79">
        <f>SUMIFS('Перечень инв.проектов ВС'!O$4:O$223,'Перечень инв.проектов ВС'!$C$4:$C$223,$S33,'Перечень инв.проектов ВС'!$I$4:$I$223,$C33)</f>
        <v>0</v>
      </c>
      <c r="H33" s="79">
        <f>SUMIFS('Перечень инв.проектов ВС'!P$4:P$223,'Перечень инв.проектов ВС'!$C$4:$C$223,$S33,'Перечень инв.проектов ВС'!$I$4:$I$223,$C33)</f>
        <v>0</v>
      </c>
      <c r="I33" s="79">
        <f>SUMIFS('Перечень инв.проектов ВС'!Q$4:Q$223,'Перечень инв.проектов ВС'!$C$4:$C$223,$S33,'Перечень инв.проектов ВС'!$I$4:$I$223,$C33)</f>
        <v>0</v>
      </c>
      <c r="J33" s="79">
        <f>SUMIFS('Перечень инв.проектов ВС'!R$4:R$223,'Перечень инв.проектов ВС'!$C$4:$C$223,$S33,'Перечень инв.проектов ВС'!$I$4:$I$223,$C33)</f>
        <v>0</v>
      </c>
      <c r="K33" s="79">
        <f>SUMIFS('Перечень инв.проектов ВС'!S$4:S$223,'Перечень инв.проектов ВС'!$C$4:$C$223,$S33,'Перечень инв.проектов ВС'!$I$4:$I$223,$C33)</f>
        <v>0</v>
      </c>
      <c r="L33" s="79">
        <f>SUMIFS('Перечень инв.проектов ВС'!T$4:T$223,'Перечень инв.проектов ВС'!$C$4:$C$223,$S33,'Перечень инв.проектов ВС'!$I$4:$I$223,$C33)</f>
        <v>0</v>
      </c>
      <c r="M33" s="79">
        <f>SUMIFS('Перечень инв.проектов ВС'!U$4:U$223,'Перечень инв.проектов ВС'!$C$4:$C$223,$S33,'Перечень инв.проектов ВС'!$I$4:$I$223,$C33)</f>
        <v>0</v>
      </c>
      <c r="N33" s="79">
        <f>SUMIFS('Перечень инв.проектов ВС'!V$4:V$223,'Перечень инв.проектов ВС'!$C$4:$C$223,$S33,'Перечень инв.проектов ВС'!$I$4:$I$223,$C33)</f>
        <v>0</v>
      </c>
      <c r="O33" s="79">
        <f>SUMIFS('Перечень инв.проектов ВС'!W$4:W$223,'Перечень инв.проектов ВС'!$C$4:$C$223,$S33,'Перечень инв.проектов ВС'!$I$4:$I$223,$C33)</f>
        <v>0</v>
      </c>
      <c r="P33" s="79">
        <f>SUMIFS('Перечень инв.проектов ВС'!X$4:X$223,'Перечень инв.проектов ВС'!$C$4:$C$223,$S33,'Перечень инв.проектов ВС'!$I$4:$I$223,$C33)</f>
        <v>0</v>
      </c>
      <c r="Q33" s="79">
        <f t="shared" si="9"/>
        <v>0</v>
      </c>
      <c r="R33" s="13"/>
      <c r="S33" s="69" t="s">
        <v>153</v>
      </c>
      <c r="AB33" s="17"/>
    </row>
    <row r="34" spans="2:28" x14ac:dyDescent="0.2">
      <c r="B34" s="479"/>
      <c r="C34" s="16" t="s">
        <v>155</v>
      </c>
      <c r="D34" s="79">
        <f>SUMIFS('Перечень инв.проектов ВС'!L$4:L$223,'Перечень инв.проектов ВС'!$C$4:$C$223,$S34,'Перечень инв.проектов ВС'!$I$4:$I$223,$C34)</f>
        <v>0</v>
      </c>
      <c r="E34" s="79">
        <f>SUMIFS('Перечень инв.проектов ВС'!M$4:M$223,'Перечень инв.проектов ВС'!$C$4:$C$223,$S34,'Перечень инв.проектов ВС'!$I$4:$I$223,$C34)</f>
        <v>0</v>
      </c>
      <c r="F34" s="79">
        <f>SUMIFS('Перечень инв.проектов ВС'!N$4:N$223,'Перечень инв.проектов ВС'!$C$4:$C$223,$S34,'Перечень инв.проектов ВС'!$I$4:$I$223,$C34)</f>
        <v>0</v>
      </c>
      <c r="G34" s="79">
        <f>SUMIFS('Перечень инв.проектов ВС'!O$4:O$223,'Перечень инв.проектов ВС'!$C$4:$C$223,$S34,'Перечень инв.проектов ВС'!$I$4:$I$223,$C34)</f>
        <v>0</v>
      </c>
      <c r="H34" s="79">
        <f>SUMIFS('Перечень инв.проектов ВС'!P$4:P$223,'Перечень инв.проектов ВС'!$C$4:$C$223,$S34,'Перечень инв.проектов ВС'!$I$4:$I$223,$C34)</f>
        <v>0</v>
      </c>
      <c r="I34" s="79">
        <f>SUMIFS('Перечень инв.проектов ВС'!Q$4:Q$223,'Перечень инв.проектов ВС'!$C$4:$C$223,$S34,'Перечень инв.проектов ВС'!$I$4:$I$223,$C34)</f>
        <v>0</v>
      </c>
      <c r="J34" s="79">
        <f>SUMIFS('Перечень инв.проектов ВС'!R$4:R$223,'Перечень инв.проектов ВС'!$C$4:$C$223,$S34,'Перечень инв.проектов ВС'!$I$4:$I$223,$C34)</f>
        <v>0</v>
      </c>
      <c r="K34" s="79">
        <f>SUMIFS('Перечень инв.проектов ВС'!S$4:S$223,'Перечень инв.проектов ВС'!$C$4:$C$223,$S34,'Перечень инв.проектов ВС'!$I$4:$I$223,$C34)</f>
        <v>0</v>
      </c>
      <c r="L34" s="79">
        <f>SUMIFS('Перечень инв.проектов ВС'!T$4:T$223,'Перечень инв.проектов ВС'!$C$4:$C$223,$S34,'Перечень инв.проектов ВС'!$I$4:$I$223,$C34)</f>
        <v>0</v>
      </c>
      <c r="M34" s="79">
        <f>SUMIFS('Перечень инв.проектов ВС'!U$4:U$223,'Перечень инв.проектов ВС'!$C$4:$C$223,$S34,'Перечень инв.проектов ВС'!$I$4:$I$223,$C34)</f>
        <v>0</v>
      </c>
      <c r="N34" s="79">
        <f>SUMIFS('Перечень инв.проектов ВС'!V$4:V$223,'Перечень инв.проектов ВС'!$C$4:$C$223,$S34,'Перечень инв.проектов ВС'!$I$4:$I$223,$C34)</f>
        <v>0</v>
      </c>
      <c r="O34" s="79">
        <f>SUMIFS('Перечень инв.проектов ВС'!W$4:W$223,'Перечень инв.проектов ВС'!$C$4:$C$223,$S34,'Перечень инв.проектов ВС'!$I$4:$I$223,$C34)</f>
        <v>0</v>
      </c>
      <c r="P34" s="79">
        <f>SUMIFS('Перечень инв.проектов ВС'!X$4:X$223,'Перечень инв.проектов ВС'!$C$4:$C$223,$S34,'Перечень инв.проектов ВС'!$I$4:$I$223,$C34)</f>
        <v>0</v>
      </c>
      <c r="Q34" s="79">
        <f t="shared" si="9"/>
        <v>0</v>
      </c>
      <c r="R34" s="13"/>
      <c r="S34" s="69" t="s">
        <v>153</v>
      </c>
      <c r="AB34" s="17"/>
    </row>
    <row r="35" spans="2:28" x14ac:dyDescent="0.2">
      <c r="B35" s="479"/>
      <c r="C35" s="16" t="s">
        <v>310</v>
      </c>
      <c r="D35" s="79">
        <f>SUMIFS('Перечень инв.проектов ВС'!L$4:L$223,'Перечень инв.проектов ВС'!$C$4:$C$223,$S35,'Перечень инв.проектов ВС'!$I$4:$I$223,$C35)</f>
        <v>0</v>
      </c>
      <c r="E35" s="79">
        <f>SUMIFS('Перечень инв.проектов ВС'!M$4:M$223,'Перечень инв.проектов ВС'!$C$4:$C$223,$S35,'Перечень инв.проектов ВС'!$I$4:$I$223,$C35)</f>
        <v>45698.32619804838</v>
      </c>
      <c r="F35" s="79">
        <f>SUMIFS('Перечень инв.проектов ВС'!N$4:N$223,'Перечень инв.проектов ВС'!$C$4:$C$223,$S35,'Перечень инв.проектов ВС'!$I$4:$I$223,$C35)</f>
        <v>47578.121510351535</v>
      </c>
      <c r="G35" s="79">
        <f>SUMIFS('Перечень инв.проектов ВС'!O$4:O$223,'Перечень инв.проектов ВС'!$C$4:$C$223,$S35,'Перечень инв.проектов ВС'!$I$4:$I$223,$C35)</f>
        <v>49481.246370765599</v>
      </c>
      <c r="H35" s="79">
        <f>SUMIFS('Перечень инв.проектов ВС'!P$4:P$223,'Перечень инв.проектов ВС'!$C$4:$C$223,$S35,'Перечень инв.проектов ВС'!$I$4:$I$223,$C35)</f>
        <v>51460.496225596224</v>
      </c>
      <c r="I35" s="79">
        <f>SUMIFS('Перечень инв.проектов ВС'!Q$4:Q$223,'Перечень инв.проектов ВС'!$C$4:$C$223,$S35,'Перечень инв.проектов ВС'!$I$4:$I$223,$C35)</f>
        <v>53518.916074620072</v>
      </c>
      <c r="J35" s="79">
        <f>SUMIFS('Перечень инв.проектов ВС'!R$4:R$223,'Перечень инв.проектов ВС'!$C$4:$C$223,$S35,'Перечень инв.проектов ВС'!$I$4:$I$223,$C35)</f>
        <v>55659.672717604881</v>
      </c>
      <c r="K35" s="79">
        <f>SUMIFS('Перечень инв.проектов ВС'!S$4:S$223,'Перечень инв.проектов ВС'!$C$4:$C$223,$S35,'Перечень инв.проектов ВС'!$I$4:$I$223,$C35)</f>
        <v>57886.059626309077</v>
      </c>
      <c r="L35" s="79">
        <f>SUMIFS('Перечень инв.проектов ВС'!T$4:T$223,'Перечень инв.проектов ВС'!$C$4:$C$223,$S35,'Перечень инв.проектов ВС'!$I$4:$I$223,$C35)</f>
        <v>60201.502011361437</v>
      </c>
      <c r="M35" s="79">
        <f>SUMIFS('Перечень инв.проектов ВС'!U$4:U$223,'Перечень инв.проектов ВС'!$C$4:$C$223,$S35,'Перечень инв.проектов ВС'!$I$4:$I$223,$C35)</f>
        <v>62609.562091815897</v>
      </c>
      <c r="N35" s="79">
        <f>SUMIFS('Перечень инв.проектов ВС'!V$4:V$223,'Перечень инв.проектов ВС'!$C$4:$C$223,$S35,'Перечень инв.проектов ВС'!$I$4:$I$223,$C35)</f>
        <v>65113.944575488531</v>
      </c>
      <c r="O35" s="79">
        <f>SUMIFS('Перечень инв.проектов ВС'!W$4:W$223,'Перечень инв.проектов ВС'!$C$4:$C$223,$S35,'Перечень инв.проектов ВС'!$I$4:$I$223,$C35)</f>
        <v>67718.502358508078</v>
      </c>
      <c r="P35" s="79">
        <f>SUMIFS('Перечень инв.проектов ВС'!X$4:X$223,'Перечень инв.проектов ВС'!$C$4:$C$223,$S35,'Перечень инв.проектов ВС'!$I$4:$I$223,$C35)</f>
        <v>70427.242452848397</v>
      </c>
      <c r="Q35" s="79">
        <f t="shared" si="9"/>
        <v>687353.5922133181</v>
      </c>
      <c r="R35" s="13"/>
      <c r="S35" s="69" t="s">
        <v>153</v>
      </c>
      <c r="AB35" s="17"/>
    </row>
    <row r="36" spans="2:28" ht="13.15" customHeight="1" x14ac:dyDescent="0.2">
      <c r="B36" s="479" t="s">
        <v>164</v>
      </c>
      <c r="C36" s="73" t="s">
        <v>216</v>
      </c>
      <c r="D36" s="77">
        <f t="shared" ref="D36:P36" si="13">SUM(D37:D40)</f>
        <v>47711</v>
      </c>
      <c r="E36" s="77">
        <f t="shared" si="13"/>
        <v>195795.17646548746</v>
      </c>
      <c r="F36" s="77">
        <f t="shared" si="13"/>
        <v>277468.45217142126</v>
      </c>
      <c r="G36" s="77">
        <f t="shared" si="13"/>
        <v>249545.94820205489</v>
      </c>
      <c r="H36" s="77">
        <f t="shared" si="13"/>
        <v>50026.200975216161</v>
      </c>
      <c r="I36" s="77">
        <f t="shared" si="13"/>
        <v>50871.437908098815</v>
      </c>
      <c r="J36" s="77">
        <f t="shared" si="13"/>
        <v>52906.295424422773</v>
      </c>
      <c r="K36" s="77">
        <f t="shared" si="13"/>
        <v>55022.54724139969</v>
      </c>
      <c r="L36" s="77">
        <f t="shared" si="13"/>
        <v>0</v>
      </c>
      <c r="M36" s="77">
        <f t="shared" si="13"/>
        <v>0</v>
      </c>
      <c r="N36" s="77">
        <f t="shared" si="13"/>
        <v>0</v>
      </c>
      <c r="O36" s="77">
        <f t="shared" si="13"/>
        <v>0</v>
      </c>
      <c r="P36" s="77">
        <f t="shared" si="13"/>
        <v>0</v>
      </c>
      <c r="Q36" s="77">
        <f t="shared" si="9"/>
        <v>979347.05838810105</v>
      </c>
      <c r="R36" s="13"/>
      <c r="S36" s="69"/>
      <c r="AB36" s="17"/>
    </row>
    <row r="37" spans="2:28" x14ac:dyDescent="0.2">
      <c r="B37" s="479"/>
      <c r="C37" s="10" t="s">
        <v>163</v>
      </c>
      <c r="D37" s="79">
        <f>SUMIFS('Перечень инв.проектов ВС'!L$4:L$223,'Перечень инв.проектов ВС'!$C$4:$C$223,$S37,'Перечень инв.проектов ВС'!$I$4:$I$223,$C37)</f>
        <v>47711</v>
      </c>
      <c r="E37" s="79">
        <f>SUMIFS('Перечень инв.проектов ВС'!M$4:M$223,'Перечень инв.проектов ВС'!$C$4:$C$223,$S37,'Перечень инв.проектов ВС'!$I$4:$I$223,$C37)</f>
        <v>150000</v>
      </c>
      <c r="F37" s="79">
        <f>SUMIFS('Перечень инв.проектов ВС'!N$4:N$223,'Перечень инв.проектов ВС'!$C$4:$C$223,$S37,'Перечень инв.проектов ВС'!$I$4:$I$223,$C37)</f>
        <v>232000</v>
      </c>
      <c r="G37" s="79">
        <f>SUMIFS('Перечень инв.проектов ВС'!O$4:O$223,'Перечень инв.проектов ВС'!$C$4:$C$223,$S37,'Перечень инв.проектов ВС'!$I$4:$I$223,$C37)</f>
        <v>201068.6123392437</v>
      </c>
      <c r="H37" s="79">
        <f>SUMIFS('Перечень инв.проектов ВС'!P$4:P$223,'Перечень инв.проектов ВС'!$C$4:$C$223,$S37,'Перечень инв.проектов ВС'!$I$4:$I$223,$C37)</f>
        <v>1111.3568328134511</v>
      </c>
      <c r="I37" s="79">
        <f>SUMIFS('Перечень инв.проектов ВС'!Q$4:Q$223,'Перечень инв.проектов ВС'!$C$4:$C$223,$S37,'Перечень инв.проектов ВС'!$I$4:$I$223,$C37)</f>
        <v>0</v>
      </c>
      <c r="J37" s="79">
        <f>SUMIFS('Перечень инв.проектов ВС'!R$4:R$223,'Перечень инв.проектов ВС'!$C$4:$C$223,$S37,'Перечень инв.проектов ВС'!$I$4:$I$223,$C37)</f>
        <v>0</v>
      </c>
      <c r="K37" s="79">
        <f>SUMIFS('Перечень инв.проектов ВС'!S$4:S$223,'Перечень инв.проектов ВС'!$C$4:$C$223,$S37,'Перечень инв.проектов ВС'!$I$4:$I$223,$C37)</f>
        <v>0</v>
      </c>
      <c r="L37" s="79">
        <f>SUMIFS('Перечень инв.проектов ВС'!T$4:T$223,'Перечень инв.проектов ВС'!$C$4:$C$223,$S37,'Перечень инв.проектов ВС'!$I$4:$I$223,$C37)</f>
        <v>0</v>
      </c>
      <c r="M37" s="79">
        <f>SUMIFS('Перечень инв.проектов ВС'!U$4:U$223,'Перечень инв.проектов ВС'!$C$4:$C$223,$S37,'Перечень инв.проектов ВС'!$I$4:$I$223,$C37)</f>
        <v>0</v>
      </c>
      <c r="N37" s="79">
        <f>SUMIFS('Перечень инв.проектов ВС'!V$4:V$223,'Перечень инв.проектов ВС'!$C$4:$C$223,$S37,'Перечень инв.проектов ВС'!$I$4:$I$223,$C37)</f>
        <v>0</v>
      </c>
      <c r="O37" s="79">
        <f>SUMIFS('Перечень инв.проектов ВС'!W$4:W$223,'Перечень инв.проектов ВС'!$C$4:$C$223,$S37,'Перечень инв.проектов ВС'!$I$4:$I$223,$C37)</f>
        <v>0</v>
      </c>
      <c r="P37" s="79">
        <f>SUMIFS('Перечень инв.проектов ВС'!X$4:X$223,'Перечень инв.проектов ВС'!$C$4:$C$223,$S37,'Перечень инв.проектов ВС'!$I$4:$I$223,$C37)</f>
        <v>0</v>
      </c>
      <c r="Q37" s="79">
        <f t="shared" si="9"/>
        <v>631890.96917205723</v>
      </c>
      <c r="R37" s="13"/>
      <c r="S37" s="69" t="s">
        <v>164</v>
      </c>
      <c r="AB37" s="17"/>
    </row>
    <row r="38" spans="2:28" ht="25.5" x14ac:dyDescent="0.2">
      <c r="B38" s="479"/>
      <c r="C38" s="16" t="s">
        <v>166</v>
      </c>
      <c r="D38" s="79">
        <f>SUMIFS('Перечень инв.проектов ВС'!L$4:L$223,'Перечень инв.проектов ВС'!$C$4:$C$223,$S38,'Перечень инв.проектов ВС'!$I$4:$I$223,$C38)</f>
        <v>0</v>
      </c>
      <c r="E38" s="79">
        <f>SUMIFS('Перечень инв.проектов ВС'!M$4:M$223,'Перечень инв.проектов ВС'!$C$4:$C$223,$S38,'Перечень инв.проектов ВС'!$I$4:$I$223,$C38)</f>
        <v>0</v>
      </c>
      <c r="F38" s="79">
        <f>SUMIFS('Перечень инв.проектов ВС'!N$4:N$223,'Перечень инв.проектов ВС'!$C$4:$C$223,$S38,'Перечень инв.проектов ВС'!$I$4:$I$223,$C38)</f>
        <v>0</v>
      </c>
      <c r="G38" s="79">
        <f>SUMIFS('Перечень инв.проектов ВС'!O$4:O$223,'Перечень инв.проектов ВС'!$C$4:$C$223,$S38,'Перечень инв.проектов ВС'!$I$4:$I$223,$C38)</f>
        <v>0</v>
      </c>
      <c r="H38" s="79">
        <f>SUMIFS('Перечень инв.проектов ВС'!P$4:P$223,'Перечень инв.проектов ВС'!$C$4:$C$223,$S38,'Перечень инв.проектов ВС'!$I$4:$I$223,$C38)</f>
        <v>0</v>
      </c>
      <c r="I38" s="79">
        <f>SUMIFS('Перечень инв.проектов ВС'!Q$4:Q$223,'Перечень инв.проектов ВС'!$C$4:$C$223,$S38,'Перечень инв.проектов ВС'!$I$4:$I$223,$C38)</f>
        <v>0</v>
      </c>
      <c r="J38" s="79">
        <f>SUMIFS('Перечень инв.проектов ВС'!R$4:R$223,'Перечень инв.проектов ВС'!$C$4:$C$223,$S38,'Перечень инв.проектов ВС'!$I$4:$I$223,$C38)</f>
        <v>0</v>
      </c>
      <c r="K38" s="79">
        <f>SUMIFS('Перечень инв.проектов ВС'!S$4:S$223,'Перечень инв.проектов ВС'!$C$4:$C$223,$S38,'Перечень инв.проектов ВС'!$I$4:$I$223,$C38)</f>
        <v>0</v>
      </c>
      <c r="L38" s="79">
        <f>SUMIFS('Перечень инв.проектов ВС'!T$4:T$223,'Перечень инв.проектов ВС'!$C$4:$C$223,$S38,'Перечень инв.проектов ВС'!$I$4:$I$223,$C38)</f>
        <v>0</v>
      </c>
      <c r="M38" s="79">
        <f>SUMIFS('Перечень инв.проектов ВС'!U$4:U$223,'Перечень инв.проектов ВС'!$C$4:$C$223,$S38,'Перечень инв.проектов ВС'!$I$4:$I$223,$C38)</f>
        <v>0</v>
      </c>
      <c r="N38" s="79">
        <f>SUMIFS('Перечень инв.проектов ВС'!V$4:V$223,'Перечень инв.проектов ВС'!$C$4:$C$223,$S38,'Перечень инв.проектов ВС'!$I$4:$I$223,$C38)</f>
        <v>0</v>
      </c>
      <c r="O38" s="79">
        <f>SUMIFS('Перечень инв.проектов ВС'!W$4:W$223,'Перечень инв.проектов ВС'!$C$4:$C$223,$S38,'Перечень инв.проектов ВС'!$I$4:$I$223,$C38)</f>
        <v>0</v>
      </c>
      <c r="P38" s="79">
        <f>SUMIFS('Перечень инв.проектов ВС'!X$4:X$223,'Перечень инв.проектов ВС'!$C$4:$C$223,$S38,'Перечень инв.проектов ВС'!$I$4:$I$223,$C38)</f>
        <v>0</v>
      </c>
      <c r="Q38" s="79">
        <f ca="1">SUMIFS('Перечень инв.проектов ВС'!AD$4:AD$223,'Перечень инв.проектов ВС'!$C$4:$C$223,$S38,'Перечень инв.проектов ВС'!$I$4:$I$223,$C38)</f>
        <v>0</v>
      </c>
      <c r="R38" s="13"/>
      <c r="S38" s="69" t="s">
        <v>164</v>
      </c>
      <c r="AB38" s="17"/>
    </row>
    <row r="39" spans="2:28" x14ac:dyDescent="0.2">
      <c r="B39" s="479"/>
      <c r="C39" s="16" t="s">
        <v>155</v>
      </c>
      <c r="D39" s="79">
        <f>SUMIFS('Перечень инв.проектов ВС'!L$4:L$223,'Перечень инв.проектов ВС'!$C$4:$C$223,$S39,'Перечень инв.проектов ВС'!$I$4:$I$223,$C39)</f>
        <v>0</v>
      </c>
      <c r="E39" s="79">
        <f>SUMIFS('Перечень инв.проектов ВС'!M$4:M$223,'Перечень инв.проектов ВС'!$C$4:$C$223,$S39,'Перечень инв.проектов ВС'!$I$4:$I$223,$C39)</f>
        <v>0</v>
      </c>
      <c r="F39" s="79">
        <f>SUMIFS('Перечень инв.проектов ВС'!N$4:N$223,'Перечень инв.проектов ВС'!$C$4:$C$223,$S39,'Перечень инв.проектов ВС'!$I$4:$I$223,$C39)</f>
        <v>0</v>
      </c>
      <c r="G39" s="79">
        <f>SUMIFS('Перечень инв.проектов ВС'!O$4:O$223,'Перечень инв.проектов ВС'!$C$4:$C$223,$S39,'Перечень инв.проектов ВС'!$I$4:$I$223,$C39)</f>
        <v>0</v>
      </c>
      <c r="H39" s="79">
        <f>SUMIFS('Перечень инв.проектов ВС'!P$4:P$223,'Перечень инв.проектов ВС'!$C$4:$C$223,$S39,'Перечень инв.проектов ВС'!$I$4:$I$223,$C39)</f>
        <v>0</v>
      </c>
      <c r="I39" s="79">
        <f>SUMIFS('Перечень инв.проектов ВС'!Q$4:Q$223,'Перечень инв.проектов ВС'!$C$4:$C$223,$S39,'Перечень инв.проектов ВС'!$I$4:$I$223,$C39)</f>
        <v>0</v>
      </c>
      <c r="J39" s="79">
        <f>SUMIFS('Перечень инв.проектов ВС'!R$4:R$223,'Перечень инв.проектов ВС'!$C$4:$C$223,$S39,'Перечень инв.проектов ВС'!$I$4:$I$223,$C39)</f>
        <v>0</v>
      </c>
      <c r="K39" s="79">
        <f>SUMIFS('Перечень инв.проектов ВС'!S$4:S$223,'Перечень инв.проектов ВС'!$C$4:$C$223,$S39,'Перечень инв.проектов ВС'!$I$4:$I$223,$C39)</f>
        <v>0</v>
      </c>
      <c r="L39" s="79">
        <f>SUMIFS('Перечень инв.проектов ВС'!T$4:T$223,'Перечень инв.проектов ВС'!$C$4:$C$223,$S39,'Перечень инв.проектов ВС'!$I$4:$I$223,$C39)</f>
        <v>0</v>
      </c>
      <c r="M39" s="79">
        <f>SUMIFS('Перечень инв.проектов ВС'!U$4:U$223,'Перечень инв.проектов ВС'!$C$4:$C$223,$S39,'Перечень инв.проектов ВС'!$I$4:$I$223,$C39)</f>
        <v>0</v>
      </c>
      <c r="N39" s="79">
        <f>SUMIFS('Перечень инв.проектов ВС'!V$4:V$223,'Перечень инв.проектов ВС'!$C$4:$C$223,$S39,'Перечень инв.проектов ВС'!$I$4:$I$223,$C39)</f>
        <v>0</v>
      </c>
      <c r="O39" s="79">
        <f>SUMIFS('Перечень инв.проектов ВС'!W$4:W$223,'Перечень инв.проектов ВС'!$C$4:$C$223,$S39,'Перечень инв.проектов ВС'!$I$4:$I$223,$C39)</f>
        <v>0</v>
      </c>
      <c r="P39" s="79">
        <f>SUMIFS('Перечень инв.проектов ВС'!X$4:X$223,'Перечень инв.проектов ВС'!$C$4:$C$223,$S39,'Перечень инв.проектов ВС'!$I$4:$I$223,$C39)</f>
        <v>0</v>
      </c>
      <c r="Q39" s="79">
        <f ca="1">SUMIFS('Перечень инв.проектов ВС'!AD$4:AD$223,'Перечень инв.проектов ВС'!$C$4:$C$223,$S39,'Перечень инв.проектов ВС'!$I$4:$I$223,$C39)</f>
        <v>0</v>
      </c>
      <c r="R39" s="13"/>
      <c r="S39" s="69" t="s">
        <v>164</v>
      </c>
      <c r="AB39" s="17"/>
    </row>
    <row r="40" spans="2:28" x14ac:dyDescent="0.2">
      <c r="B40" s="479"/>
      <c r="C40" s="16" t="s">
        <v>310</v>
      </c>
      <c r="D40" s="79">
        <f>SUMIFS('Перечень инв.проектов ВС'!L$4:L$223,'Перечень инв.проектов ВС'!$C$4:$C$223,$S40,'Перечень инв.проектов ВС'!$I$4:$I$223,$C40)</f>
        <v>0</v>
      </c>
      <c r="E40" s="79">
        <f>SUMIFS('Перечень инв.проектов ВС'!M$4:M$223,'Перечень инв.проектов ВС'!$C$4:$C$223,$S40,'Перечень инв.проектов ВС'!$I$4:$I$223,$C40)</f>
        <v>45795.176465487457</v>
      </c>
      <c r="F40" s="79">
        <f>SUMIFS('Перечень инв.проектов ВС'!N$4:N$223,'Перечень инв.проектов ВС'!$C$4:$C$223,$S40,'Перечень инв.проектов ВС'!$I$4:$I$223,$C40)</f>
        <v>45468.452171421268</v>
      </c>
      <c r="G40" s="79">
        <f>SUMIFS('Перечень инв.проектов ВС'!O$4:O$223,'Перечень инв.проектов ВС'!$C$4:$C$223,$S40,'Перечень инв.проектов ВС'!$I$4:$I$223,$C40)</f>
        <v>48477.335862811204</v>
      </c>
      <c r="H40" s="79">
        <f>SUMIFS('Перечень инв.проектов ВС'!P$4:P$223,'Перечень инв.проектов ВС'!$C$4:$C$223,$S40,'Перечень инв.проектов ВС'!$I$4:$I$223,$C40)</f>
        <v>48914.844142402711</v>
      </c>
      <c r="I40" s="79">
        <f>SUMIFS('Перечень инв.проектов ВС'!Q$4:Q$223,'Перечень инв.проектов ВС'!$C$4:$C$223,$S40,'Перечень инв.проектов ВС'!$I$4:$I$223,$C40)</f>
        <v>50871.437908098815</v>
      </c>
      <c r="J40" s="79">
        <f>SUMIFS('Перечень инв.проектов ВС'!R$4:R$223,'Перечень инв.проектов ВС'!$C$4:$C$223,$S40,'Перечень инв.проектов ВС'!$I$4:$I$223,$C40)</f>
        <v>52906.295424422773</v>
      </c>
      <c r="K40" s="79">
        <f>SUMIFS('Перечень инв.проектов ВС'!S$4:S$223,'Перечень инв.проектов ВС'!$C$4:$C$223,$S40,'Перечень инв.проектов ВС'!$I$4:$I$223,$C40)</f>
        <v>55022.54724139969</v>
      </c>
      <c r="L40" s="79">
        <f>SUMIFS('Перечень инв.проектов ВС'!T$4:T$223,'Перечень инв.проектов ВС'!$C$4:$C$223,$S40,'Перечень инв.проектов ВС'!$I$4:$I$223,$C40)</f>
        <v>0</v>
      </c>
      <c r="M40" s="79">
        <f>SUMIFS('Перечень инв.проектов ВС'!U$4:U$223,'Перечень инв.проектов ВС'!$C$4:$C$223,$S40,'Перечень инв.проектов ВС'!$I$4:$I$223,$C40)</f>
        <v>0</v>
      </c>
      <c r="N40" s="79">
        <f>SUMIFS('Перечень инв.проектов ВС'!V$4:V$223,'Перечень инв.проектов ВС'!$C$4:$C$223,$S40,'Перечень инв.проектов ВС'!$I$4:$I$223,$C40)</f>
        <v>0</v>
      </c>
      <c r="O40" s="79">
        <f>SUMIFS('Перечень инв.проектов ВС'!W$4:W$223,'Перечень инв.проектов ВС'!$C$4:$C$223,$S40,'Перечень инв.проектов ВС'!$I$4:$I$223,$C40)</f>
        <v>0</v>
      </c>
      <c r="P40" s="79">
        <f>SUMIFS('Перечень инв.проектов ВС'!X$4:X$223,'Перечень инв.проектов ВС'!$C$4:$C$223,$S40,'Перечень инв.проектов ВС'!$I$4:$I$223,$C40)</f>
        <v>0</v>
      </c>
      <c r="Q40" s="79">
        <f>SUM(D40:P40)</f>
        <v>347456.08921604388</v>
      </c>
      <c r="R40" s="13"/>
      <c r="S40" s="69" t="s">
        <v>164</v>
      </c>
      <c r="AB40" s="17"/>
    </row>
    <row r="41" spans="2:28" ht="13.15" customHeight="1" x14ac:dyDescent="0.2">
      <c r="B41" s="479" t="s">
        <v>167</v>
      </c>
      <c r="C41" s="73" t="s">
        <v>216</v>
      </c>
      <c r="D41" s="77">
        <f t="shared" ref="D41" si="14">SUM(D42:D45)</f>
        <v>0</v>
      </c>
      <c r="E41" s="77">
        <f t="shared" ref="E41:P41" si="15">SUM(E42:E45)</f>
        <v>0</v>
      </c>
      <c r="F41" s="77">
        <f t="shared" si="15"/>
        <v>0</v>
      </c>
      <c r="G41" s="77">
        <f t="shared" si="15"/>
        <v>0</v>
      </c>
      <c r="H41" s="77">
        <f t="shared" si="15"/>
        <v>0</v>
      </c>
      <c r="I41" s="77">
        <f t="shared" si="15"/>
        <v>0</v>
      </c>
      <c r="J41" s="77">
        <f t="shared" si="15"/>
        <v>0</v>
      </c>
      <c r="K41" s="77">
        <f t="shared" si="15"/>
        <v>0</v>
      </c>
      <c r="L41" s="77">
        <f t="shared" si="15"/>
        <v>0</v>
      </c>
      <c r="M41" s="77">
        <f t="shared" si="15"/>
        <v>0</v>
      </c>
      <c r="N41" s="77">
        <f t="shared" si="15"/>
        <v>0</v>
      </c>
      <c r="O41" s="77">
        <f t="shared" si="15"/>
        <v>0</v>
      </c>
      <c r="P41" s="77">
        <f t="shared" si="15"/>
        <v>0</v>
      </c>
      <c r="Q41" s="77">
        <f t="shared" ref="Q41" ca="1" si="16">SUM(Q42:Q45)</f>
        <v>0</v>
      </c>
      <c r="R41" s="13"/>
      <c r="S41" s="69"/>
      <c r="AB41" s="17"/>
    </row>
    <row r="42" spans="2:28" x14ac:dyDescent="0.2">
      <c r="B42" s="479"/>
      <c r="C42" s="10" t="s">
        <v>163</v>
      </c>
      <c r="D42" s="79">
        <f>SUMIFS('Перечень инв.проектов ВС'!L$5:L$223,'Перечень инв.проектов ВС'!$C$5:$C$223,$S42,'Перечень инв.проектов ВС'!$I$5:$I$223,$C42)</f>
        <v>0</v>
      </c>
      <c r="E42" s="79">
        <f>SUMIFS('Перечень инв.проектов ВС'!M$5:M$223,'Перечень инв.проектов ВС'!$C$5:$C$223,$S42,'Перечень инв.проектов ВС'!$I$5:$I$223,$C42)</f>
        <v>0</v>
      </c>
      <c r="F42" s="79">
        <f>SUMIFS('Перечень инв.проектов ВС'!N$5:N$223,'Перечень инв.проектов ВС'!$C$5:$C$223,$S42,'Перечень инв.проектов ВС'!$I$5:$I$223,$C42)</f>
        <v>0</v>
      </c>
      <c r="G42" s="79">
        <f>SUMIFS('Перечень инв.проектов ВС'!O$5:O$223,'Перечень инв.проектов ВС'!$C$5:$C$223,$S42,'Перечень инв.проектов ВС'!$I$5:$I$223,$C42)</f>
        <v>0</v>
      </c>
      <c r="H42" s="79">
        <f>SUMIFS('Перечень инв.проектов ВС'!P$5:P$223,'Перечень инв.проектов ВС'!$C$5:$C$223,$S42,'Перечень инв.проектов ВС'!$I$5:$I$223,$C42)</f>
        <v>0</v>
      </c>
      <c r="I42" s="79">
        <f>SUMIFS('Перечень инв.проектов ВС'!Q$5:Q$223,'Перечень инв.проектов ВС'!$C$5:$C$223,$S42,'Перечень инв.проектов ВС'!$I$5:$I$223,$C42)</f>
        <v>0</v>
      </c>
      <c r="J42" s="79">
        <f>SUMIFS('Перечень инв.проектов ВС'!R$5:R$223,'Перечень инв.проектов ВС'!$C$5:$C$223,$S42,'Перечень инв.проектов ВС'!$I$5:$I$223,$C42)</f>
        <v>0</v>
      </c>
      <c r="K42" s="79">
        <f>SUMIFS('Перечень инв.проектов ВС'!S$5:S$223,'Перечень инв.проектов ВС'!$C$5:$C$223,$S42,'Перечень инв.проектов ВС'!$I$5:$I$223,$C42)</f>
        <v>0</v>
      </c>
      <c r="L42" s="79">
        <f>SUMIFS('Перечень инв.проектов ВС'!T$5:T$223,'Перечень инв.проектов ВС'!$C$5:$C$223,$S42,'Перечень инв.проектов ВС'!$I$5:$I$223,$C42)</f>
        <v>0</v>
      </c>
      <c r="M42" s="79">
        <f>SUMIFS('Перечень инв.проектов ВС'!U$5:U$223,'Перечень инв.проектов ВС'!$C$5:$C$223,$S42,'Перечень инв.проектов ВС'!$I$5:$I$223,$C42)</f>
        <v>0</v>
      </c>
      <c r="N42" s="79">
        <f>SUMIFS('Перечень инв.проектов ВС'!V$5:V$223,'Перечень инв.проектов ВС'!$C$5:$C$223,$S42,'Перечень инв.проектов ВС'!$I$5:$I$223,$C42)</f>
        <v>0</v>
      </c>
      <c r="O42" s="79">
        <f>SUMIFS('Перечень инв.проектов ВС'!W$5:W$223,'Перечень инв.проектов ВС'!$C$5:$C$223,$S42,'Перечень инв.проектов ВС'!$I$5:$I$223,$C42)</f>
        <v>0</v>
      </c>
      <c r="P42" s="79">
        <f>SUMIFS('Перечень инв.проектов ВС'!X$5:X$223,'Перечень инв.проектов ВС'!$C$5:$C$223,$S42,'Перечень инв.проектов ВС'!$I$5:$I$223,$C42)</f>
        <v>0</v>
      </c>
      <c r="Q42" s="79">
        <f ca="1">SUMIFS('Перечень инв.проектов ВС'!AD$5:AD$223,'Перечень инв.проектов ВС'!$C$5:$C$223,$S42,'Перечень инв.проектов ВС'!$I$5:$I$223,$C42)</f>
        <v>0</v>
      </c>
      <c r="R42" s="13"/>
      <c r="S42" s="69" t="s">
        <v>167</v>
      </c>
      <c r="AB42" s="17"/>
    </row>
    <row r="43" spans="2:28" ht="25.5" x14ac:dyDescent="0.2">
      <c r="B43" s="479"/>
      <c r="C43" s="16" t="s">
        <v>166</v>
      </c>
      <c r="D43" s="79">
        <f>SUMIFS('Перечень инв.проектов ВС'!L$5:L$223,'Перечень инв.проектов ВС'!$C$5:$C$223,$S43,'Перечень инв.проектов ВС'!$I$5:$I$223,$C43)</f>
        <v>0</v>
      </c>
      <c r="E43" s="79">
        <f>SUMIFS('Перечень инв.проектов ВС'!M$5:M$223,'Перечень инв.проектов ВС'!$C$5:$C$223,$S43,'Перечень инв.проектов ВС'!$I$5:$I$223,$C43)</f>
        <v>0</v>
      </c>
      <c r="F43" s="79">
        <f>SUMIFS('Перечень инв.проектов ВС'!N$5:N$223,'Перечень инв.проектов ВС'!$C$5:$C$223,$S43,'Перечень инв.проектов ВС'!$I$5:$I$223,$C43)</f>
        <v>0</v>
      </c>
      <c r="G43" s="79">
        <f>SUMIFS('Перечень инв.проектов ВС'!O$5:O$223,'Перечень инв.проектов ВС'!$C$5:$C$223,$S43,'Перечень инв.проектов ВС'!$I$5:$I$223,$C43)</f>
        <v>0</v>
      </c>
      <c r="H43" s="79">
        <f>SUMIFS('Перечень инв.проектов ВС'!P$5:P$223,'Перечень инв.проектов ВС'!$C$5:$C$223,$S43,'Перечень инв.проектов ВС'!$I$5:$I$223,$C43)</f>
        <v>0</v>
      </c>
      <c r="I43" s="79">
        <f>SUMIFS('Перечень инв.проектов ВС'!Q$5:Q$223,'Перечень инв.проектов ВС'!$C$5:$C$223,$S43,'Перечень инв.проектов ВС'!$I$5:$I$223,$C43)</f>
        <v>0</v>
      </c>
      <c r="J43" s="79">
        <f>SUMIFS('Перечень инв.проектов ВС'!R$5:R$223,'Перечень инв.проектов ВС'!$C$5:$C$223,$S43,'Перечень инв.проектов ВС'!$I$5:$I$223,$C43)</f>
        <v>0</v>
      </c>
      <c r="K43" s="79">
        <f>SUMIFS('Перечень инв.проектов ВС'!S$5:S$223,'Перечень инв.проектов ВС'!$C$5:$C$223,$S43,'Перечень инв.проектов ВС'!$I$5:$I$223,$C43)</f>
        <v>0</v>
      </c>
      <c r="L43" s="79">
        <f>SUMIFS('Перечень инв.проектов ВС'!T$5:T$223,'Перечень инв.проектов ВС'!$C$5:$C$223,$S43,'Перечень инв.проектов ВС'!$I$5:$I$223,$C43)</f>
        <v>0</v>
      </c>
      <c r="M43" s="79">
        <f>SUMIFS('Перечень инв.проектов ВС'!U$5:U$223,'Перечень инв.проектов ВС'!$C$5:$C$223,$S43,'Перечень инв.проектов ВС'!$I$5:$I$223,$C43)</f>
        <v>0</v>
      </c>
      <c r="N43" s="79">
        <f>SUMIFS('Перечень инв.проектов ВС'!V$5:V$223,'Перечень инв.проектов ВС'!$C$5:$C$223,$S43,'Перечень инв.проектов ВС'!$I$5:$I$223,$C43)</f>
        <v>0</v>
      </c>
      <c r="O43" s="79">
        <f>SUMIFS('Перечень инв.проектов ВС'!W$5:W$223,'Перечень инв.проектов ВС'!$C$5:$C$223,$S43,'Перечень инв.проектов ВС'!$I$5:$I$223,$C43)</f>
        <v>0</v>
      </c>
      <c r="P43" s="79">
        <f>SUMIFS('Перечень инв.проектов ВС'!X$5:X$223,'Перечень инв.проектов ВС'!$C$5:$C$223,$S43,'Перечень инв.проектов ВС'!$I$5:$I$223,$C43)</f>
        <v>0</v>
      </c>
      <c r="Q43" s="79">
        <f ca="1">SUMIFS('Перечень инв.проектов ВС'!AD$5:AD$223,'Перечень инв.проектов ВС'!$C$5:$C$223,$S43,'Перечень инв.проектов ВС'!$I$5:$I$223,$C43)</f>
        <v>0</v>
      </c>
      <c r="R43" s="13"/>
      <c r="S43" s="69" t="s">
        <v>167</v>
      </c>
      <c r="AB43" s="17"/>
    </row>
    <row r="44" spans="2:28" x14ac:dyDescent="0.2">
      <c r="B44" s="479"/>
      <c r="C44" s="16" t="s">
        <v>155</v>
      </c>
      <c r="D44" s="79">
        <f>SUMIFS('Перечень инв.проектов ВС'!L$5:L$223,'Перечень инв.проектов ВС'!$C$5:$C$223,$S44,'Перечень инв.проектов ВС'!$I$5:$I$223,$C44)</f>
        <v>0</v>
      </c>
      <c r="E44" s="79">
        <f>SUMIFS('Перечень инв.проектов ВС'!M$5:M$223,'Перечень инв.проектов ВС'!$C$5:$C$223,$S44,'Перечень инв.проектов ВС'!$I$5:$I$223,$C44)</f>
        <v>0</v>
      </c>
      <c r="F44" s="79">
        <f>SUMIFS('Перечень инв.проектов ВС'!N$5:N$223,'Перечень инв.проектов ВС'!$C$5:$C$223,$S44,'Перечень инв.проектов ВС'!$I$5:$I$223,$C44)</f>
        <v>0</v>
      </c>
      <c r="G44" s="79">
        <f>SUMIFS('Перечень инв.проектов ВС'!O$5:O$223,'Перечень инв.проектов ВС'!$C$5:$C$223,$S44,'Перечень инв.проектов ВС'!$I$5:$I$223,$C44)</f>
        <v>0</v>
      </c>
      <c r="H44" s="79">
        <f>SUMIFS('Перечень инв.проектов ВС'!P$5:P$223,'Перечень инв.проектов ВС'!$C$5:$C$223,$S44,'Перечень инв.проектов ВС'!$I$5:$I$223,$C44)</f>
        <v>0</v>
      </c>
      <c r="I44" s="79">
        <f>SUMIFS('Перечень инв.проектов ВС'!Q$5:Q$223,'Перечень инв.проектов ВС'!$C$5:$C$223,$S44,'Перечень инв.проектов ВС'!$I$5:$I$223,$C44)</f>
        <v>0</v>
      </c>
      <c r="J44" s="79">
        <f>SUMIFS('Перечень инв.проектов ВС'!R$5:R$223,'Перечень инв.проектов ВС'!$C$5:$C$223,$S44,'Перечень инв.проектов ВС'!$I$5:$I$223,$C44)</f>
        <v>0</v>
      </c>
      <c r="K44" s="79">
        <f>SUMIFS('Перечень инв.проектов ВС'!S$5:S$223,'Перечень инв.проектов ВС'!$C$5:$C$223,$S44,'Перечень инв.проектов ВС'!$I$5:$I$223,$C44)</f>
        <v>0</v>
      </c>
      <c r="L44" s="79">
        <f>SUMIFS('Перечень инв.проектов ВС'!T$5:T$223,'Перечень инв.проектов ВС'!$C$5:$C$223,$S44,'Перечень инв.проектов ВС'!$I$5:$I$223,$C44)</f>
        <v>0</v>
      </c>
      <c r="M44" s="79">
        <f>SUMIFS('Перечень инв.проектов ВС'!U$5:U$223,'Перечень инв.проектов ВС'!$C$5:$C$223,$S44,'Перечень инв.проектов ВС'!$I$5:$I$223,$C44)</f>
        <v>0</v>
      </c>
      <c r="N44" s="79">
        <f>SUMIFS('Перечень инв.проектов ВС'!V$5:V$223,'Перечень инв.проектов ВС'!$C$5:$C$223,$S44,'Перечень инв.проектов ВС'!$I$5:$I$223,$C44)</f>
        <v>0</v>
      </c>
      <c r="O44" s="79">
        <f>SUMIFS('Перечень инв.проектов ВС'!W$5:W$223,'Перечень инв.проектов ВС'!$C$5:$C$223,$S44,'Перечень инв.проектов ВС'!$I$5:$I$223,$C44)</f>
        <v>0</v>
      </c>
      <c r="P44" s="79">
        <f>SUMIFS('Перечень инв.проектов ВС'!X$5:X$223,'Перечень инв.проектов ВС'!$C$5:$C$223,$S44,'Перечень инв.проектов ВС'!$I$5:$I$223,$C44)</f>
        <v>0</v>
      </c>
      <c r="Q44" s="79">
        <f ca="1">SUMIFS('Перечень инв.проектов ВС'!AD$5:AD$223,'Перечень инв.проектов ВС'!$C$5:$C$223,$S44,'Перечень инв.проектов ВС'!$I$5:$I$223,$C44)</f>
        <v>0</v>
      </c>
      <c r="R44" s="13"/>
      <c r="S44" s="69" t="s">
        <v>167</v>
      </c>
      <c r="AB44" s="17"/>
    </row>
    <row r="45" spans="2:28" x14ac:dyDescent="0.2">
      <c r="B45" s="479"/>
      <c r="C45" s="16" t="s">
        <v>310</v>
      </c>
      <c r="D45" s="79">
        <f>SUMIFS('Перечень инв.проектов ВС'!L$5:L$223,'Перечень инв.проектов ВС'!$C$5:$C$223,$S45,'Перечень инв.проектов ВС'!$I$5:$I$223,$C45)</f>
        <v>0</v>
      </c>
      <c r="E45" s="79">
        <f>SUMIFS('Перечень инв.проектов ВС'!M$5:M$223,'Перечень инв.проектов ВС'!$C$5:$C$223,$S45,'Перечень инв.проектов ВС'!$I$5:$I$223,$C45)</f>
        <v>0</v>
      </c>
      <c r="F45" s="79">
        <f>SUMIFS('Перечень инв.проектов ВС'!N$5:N$223,'Перечень инв.проектов ВС'!$C$5:$C$223,$S45,'Перечень инв.проектов ВС'!$I$5:$I$223,$C45)</f>
        <v>0</v>
      </c>
      <c r="G45" s="79">
        <f>SUMIFS('Перечень инв.проектов ВС'!O$5:O$223,'Перечень инв.проектов ВС'!$C$5:$C$223,$S45,'Перечень инв.проектов ВС'!$I$5:$I$223,$C45)</f>
        <v>0</v>
      </c>
      <c r="H45" s="79">
        <f>SUMIFS('Перечень инв.проектов ВС'!P$5:P$223,'Перечень инв.проектов ВС'!$C$5:$C$223,$S45,'Перечень инв.проектов ВС'!$I$5:$I$223,$C45)</f>
        <v>0</v>
      </c>
      <c r="I45" s="79">
        <f>SUMIFS('Перечень инв.проектов ВС'!Q$5:Q$223,'Перечень инв.проектов ВС'!$C$5:$C$223,$S45,'Перечень инв.проектов ВС'!$I$5:$I$223,$C45)</f>
        <v>0</v>
      </c>
      <c r="J45" s="79">
        <f>SUMIFS('Перечень инв.проектов ВС'!R$5:R$223,'Перечень инв.проектов ВС'!$C$5:$C$223,$S45,'Перечень инв.проектов ВС'!$I$5:$I$223,$C45)</f>
        <v>0</v>
      </c>
      <c r="K45" s="79">
        <f>SUMIFS('Перечень инв.проектов ВС'!S$5:S$223,'Перечень инв.проектов ВС'!$C$5:$C$223,$S45,'Перечень инв.проектов ВС'!$I$5:$I$223,$C45)</f>
        <v>0</v>
      </c>
      <c r="L45" s="79">
        <f>SUMIFS('Перечень инв.проектов ВС'!T$5:T$223,'Перечень инв.проектов ВС'!$C$5:$C$223,$S45,'Перечень инв.проектов ВС'!$I$5:$I$223,$C45)</f>
        <v>0</v>
      </c>
      <c r="M45" s="79">
        <f>SUMIFS('Перечень инв.проектов ВС'!U$5:U$223,'Перечень инв.проектов ВС'!$C$5:$C$223,$S45,'Перечень инв.проектов ВС'!$I$5:$I$223,$C45)</f>
        <v>0</v>
      </c>
      <c r="N45" s="79">
        <f>SUMIFS('Перечень инв.проектов ВС'!V$5:V$223,'Перечень инв.проектов ВС'!$C$5:$C$223,$S45,'Перечень инв.проектов ВС'!$I$5:$I$223,$C45)</f>
        <v>0</v>
      </c>
      <c r="O45" s="79">
        <f>SUMIFS('Перечень инв.проектов ВС'!W$5:W$223,'Перечень инв.проектов ВС'!$C$5:$C$223,$S45,'Перечень инв.проектов ВС'!$I$5:$I$223,$C45)</f>
        <v>0</v>
      </c>
      <c r="P45" s="79">
        <f>SUMIFS('Перечень инв.проектов ВС'!X$5:X$223,'Перечень инв.проектов ВС'!$C$5:$C$223,$S45,'Перечень инв.проектов ВС'!$I$5:$I$223,$C45)</f>
        <v>0</v>
      </c>
      <c r="Q45" s="79">
        <f ca="1">SUMIFS('Перечень инв.проектов ВС'!AD$5:AD$223,'Перечень инв.проектов ВС'!$C$5:$C$223,$S45,'Перечень инв.проектов ВС'!$I$5:$I$223,$C45)</f>
        <v>0</v>
      </c>
      <c r="R45" s="13"/>
      <c r="S45" s="69" t="s">
        <v>167</v>
      </c>
      <c r="AB45" s="17"/>
    </row>
    <row r="46" spans="2:28" ht="13.15" customHeight="1" x14ac:dyDescent="0.2">
      <c r="B46" s="479" t="s">
        <v>168</v>
      </c>
      <c r="C46" s="73" t="s">
        <v>216</v>
      </c>
      <c r="D46" s="77">
        <f t="shared" ref="D46" si="17">SUM(D47:D50)</f>
        <v>0</v>
      </c>
      <c r="E46" s="77">
        <f t="shared" ref="E46:P46" si="18">SUM(E47:E50)</f>
        <v>5922.4048441158957</v>
      </c>
      <c r="F46" s="77">
        <f t="shared" si="18"/>
        <v>5416.1141557582378</v>
      </c>
      <c r="G46" s="77">
        <f t="shared" si="18"/>
        <v>5632.7587219885672</v>
      </c>
      <c r="H46" s="77">
        <f t="shared" si="18"/>
        <v>2936.9604476788604</v>
      </c>
      <c r="I46" s="77">
        <f t="shared" si="18"/>
        <v>3054.4388655860148</v>
      </c>
      <c r="J46" s="77">
        <f t="shared" si="18"/>
        <v>3176.6164202094556</v>
      </c>
      <c r="K46" s="77">
        <f t="shared" si="18"/>
        <v>3303.681077017834</v>
      </c>
      <c r="L46" s="77">
        <f t="shared" si="18"/>
        <v>3435.8283200985475</v>
      </c>
      <c r="M46" s="77">
        <f t="shared" si="18"/>
        <v>0</v>
      </c>
      <c r="N46" s="77">
        <f t="shared" si="18"/>
        <v>0</v>
      </c>
      <c r="O46" s="77">
        <f t="shared" si="18"/>
        <v>0</v>
      </c>
      <c r="P46" s="77">
        <f t="shared" si="18"/>
        <v>0</v>
      </c>
      <c r="Q46" s="77">
        <f t="shared" ref="Q46:Q61" si="19">SUM(D46:P46)</f>
        <v>32878.802852453417</v>
      </c>
      <c r="R46" s="13"/>
      <c r="S46" s="69"/>
      <c r="AB46" s="17"/>
    </row>
    <row r="47" spans="2:28" x14ac:dyDescent="0.2">
      <c r="B47" s="479"/>
      <c r="C47" s="10" t="s">
        <v>163</v>
      </c>
      <c r="D47" s="79">
        <f>SUMIFS('Перечень инв.проектов ВС'!L$5:L$223,'Перечень инв.проектов ВС'!$C$5:$C$223,$S47,'Перечень инв.проектов ВС'!$I$5:$I$223,$C47)</f>
        <v>0</v>
      </c>
      <c r="E47" s="79">
        <f>SUMIFS('Перечень инв.проектов ВС'!M$5:M$223,'Перечень инв.проектов ВС'!$C$5:$C$223,$S47,'Перечень инв.проектов ВС'!$I$5:$I$223,$C47)</f>
        <v>0</v>
      </c>
      <c r="F47" s="79">
        <f>SUMIFS('Перечень инв.проектов ВС'!N$5:N$223,'Перечень инв.проектов ВС'!$C$5:$C$223,$S47,'Перечень инв.проектов ВС'!$I$5:$I$223,$C47)</f>
        <v>0</v>
      </c>
      <c r="G47" s="79">
        <f>SUMIFS('Перечень инв.проектов ВС'!O$5:O$223,'Перечень инв.проектов ВС'!$C$5:$C$223,$S47,'Перечень инв.проектов ВС'!$I$5:$I$223,$C47)</f>
        <v>0</v>
      </c>
      <c r="H47" s="79">
        <f>SUMIFS('Перечень инв.проектов ВС'!P$5:P$223,'Перечень инв.проектов ВС'!$C$5:$C$223,$S47,'Перечень инв.проектов ВС'!$I$5:$I$223,$C47)</f>
        <v>0</v>
      </c>
      <c r="I47" s="79">
        <f>SUMIFS('Перечень инв.проектов ВС'!Q$5:Q$223,'Перечень инв.проектов ВС'!$C$5:$C$223,$S47,'Перечень инв.проектов ВС'!$I$5:$I$223,$C47)</f>
        <v>0</v>
      </c>
      <c r="J47" s="79">
        <f>SUMIFS('Перечень инв.проектов ВС'!R$5:R$223,'Перечень инв.проектов ВС'!$C$5:$C$223,$S47,'Перечень инв.проектов ВС'!$I$5:$I$223,$C47)</f>
        <v>0</v>
      </c>
      <c r="K47" s="79">
        <f>SUMIFS('Перечень инв.проектов ВС'!S$5:S$223,'Перечень инв.проектов ВС'!$C$5:$C$223,$S47,'Перечень инв.проектов ВС'!$I$5:$I$223,$C47)</f>
        <v>0</v>
      </c>
      <c r="L47" s="79">
        <f>SUMIFS('Перечень инв.проектов ВС'!T$5:T$223,'Перечень инв.проектов ВС'!$C$5:$C$223,$S47,'Перечень инв.проектов ВС'!$I$5:$I$223,$C47)</f>
        <v>0</v>
      </c>
      <c r="M47" s="79">
        <f>SUMIFS('Перечень инв.проектов ВС'!U$5:U$223,'Перечень инв.проектов ВС'!$C$5:$C$223,$S47,'Перечень инв.проектов ВС'!$I$5:$I$223,$C47)</f>
        <v>0</v>
      </c>
      <c r="N47" s="79">
        <f>SUMIFS('Перечень инв.проектов ВС'!V$5:V$223,'Перечень инв.проектов ВС'!$C$5:$C$223,$S47,'Перечень инв.проектов ВС'!$I$5:$I$223,$C47)</f>
        <v>0</v>
      </c>
      <c r="O47" s="79">
        <f>SUMIFS('Перечень инв.проектов ВС'!W$5:W$223,'Перечень инв.проектов ВС'!$C$5:$C$223,$S47,'Перечень инв.проектов ВС'!$I$5:$I$223,$C47)</f>
        <v>0</v>
      </c>
      <c r="P47" s="79">
        <f>SUMIFS('Перечень инв.проектов ВС'!X$5:X$223,'Перечень инв.проектов ВС'!$C$5:$C$223,$S47,'Перечень инв.проектов ВС'!$I$5:$I$223,$C47)</f>
        <v>0</v>
      </c>
      <c r="Q47" s="79">
        <f t="shared" si="19"/>
        <v>0</v>
      </c>
      <c r="R47" s="13"/>
      <c r="S47" s="69" t="s">
        <v>168</v>
      </c>
      <c r="AB47" s="17"/>
    </row>
    <row r="48" spans="2:28" ht="25.5" x14ac:dyDescent="0.2">
      <c r="B48" s="479"/>
      <c r="C48" s="16" t="s">
        <v>166</v>
      </c>
      <c r="D48" s="79">
        <f>SUMIFS('Перечень инв.проектов ВС'!L$5:L$223,'Перечень инв.проектов ВС'!$C$5:$C$223,$S48,'Перечень инв.проектов ВС'!$I$5:$I$223,$C48)</f>
        <v>0</v>
      </c>
      <c r="E48" s="79">
        <f>SUMIFS('Перечень инв.проектов ВС'!M$5:M$223,'Перечень инв.проектов ВС'!$C$5:$C$223,$S48,'Перечень инв.проектов ВС'!$I$5:$I$223,$C48)</f>
        <v>0</v>
      </c>
      <c r="F48" s="79">
        <f>SUMIFS('Перечень инв.проектов ВС'!N$5:N$223,'Перечень инв.проектов ВС'!$C$5:$C$223,$S48,'Перечень инв.проектов ВС'!$I$5:$I$223,$C48)</f>
        <v>0</v>
      </c>
      <c r="G48" s="79">
        <f>SUMIFS('Перечень инв.проектов ВС'!O$5:O$223,'Перечень инв.проектов ВС'!$C$5:$C$223,$S48,'Перечень инв.проектов ВС'!$I$5:$I$223,$C48)</f>
        <v>0</v>
      </c>
      <c r="H48" s="79">
        <f>SUMIFS('Перечень инв.проектов ВС'!P$5:P$223,'Перечень инв.проектов ВС'!$C$5:$C$223,$S48,'Перечень инв.проектов ВС'!$I$5:$I$223,$C48)</f>
        <v>0</v>
      </c>
      <c r="I48" s="79">
        <f>SUMIFS('Перечень инв.проектов ВС'!Q$5:Q$223,'Перечень инв.проектов ВС'!$C$5:$C$223,$S48,'Перечень инв.проектов ВС'!$I$5:$I$223,$C48)</f>
        <v>0</v>
      </c>
      <c r="J48" s="79">
        <f>SUMIFS('Перечень инв.проектов ВС'!R$5:R$223,'Перечень инв.проектов ВС'!$C$5:$C$223,$S48,'Перечень инв.проектов ВС'!$I$5:$I$223,$C48)</f>
        <v>0</v>
      </c>
      <c r="K48" s="79">
        <f>SUMIFS('Перечень инв.проектов ВС'!S$5:S$223,'Перечень инв.проектов ВС'!$C$5:$C$223,$S48,'Перечень инв.проектов ВС'!$I$5:$I$223,$C48)</f>
        <v>0</v>
      </c>
      <c r="L48" s="79">
        <f>SUMIFS('Перечень инв.проектов ВС'!T$5:T$223,'Перечень инв.проектов ВС'!$C$5:$C$223,$S48,'Перечень инв.проектов ВС'!$I$5:$I$223,$C48)</f>
        <v>0</v>
      </c>
      <c r="M48" s="79">
        <f>SUMIFS('Перечень инв.проектов ВС'!U$5:U$223,'Перечень инв.проектов ВС'!$C$5:$C$223,$S48,'Перечень инв.проектов ВС'!$I$5:$I$223,$C48)</f>
        <v>0</v>
      </c>
      <c r="N48" s="79">
        <f>SUMIFS('Перечень инв.проектов ВС'!V$5:V$223,'Перечень инв.проектов ВС'!$C$5:$C$223,$S48,'Перечень инв.проектов ВС'!$I$5:$I$223,$C48)</f>
        <v>0</v>
      </c>
      <c r="O48" s="79">
        <f>SUMIFS('Перечень инв.проектов ВС'!W$5:W$223,'Перечень инв.проектов ВС'!$C$5:$C$223,$S48,'Перечень инв.проектов ВС'!$I$5:$I$223,$C48)</f>
        <v>0</v>
      </c>
      <c r="P48" s="79">
        <f>SUMIFS('Перечень инв.проектов ВС'!X$5:X$223,'Перечень инв.проектов ВС'!$C$5:$C$223,$S48,'Перечень инв.проектов ВС'!$I$5:$I$223,$C48)</f>
        <v>0</v>
      </c>
      <c r="Q48" s="79">
        <f t="shared" si="19"/>
        <v>0</v>
      </c>
      <c r="R48" s="13"/>
      <c r="S48" s="69" t="s">
        <v>168</v>
      </c>
      <c r="AB48" s="17"/>
    </row>
    <row r="49" spans="2:29" x14ac:dyDescent="0.2">
      <c r="B49" s="479"/>
      <c r="C49" s="16" t="s">
        <v>155</v>
      </c>
      <c r="D49" s="79">
        <f>SUMIFS('Перечень инв.проектов ВС'!L$5:L$223,'Перечень инв.проектов ВС'!$C$5:$C$223,$S49,'Перечень инв.проектов ВС'!$I$5:$I$223,$C49)</f>
        <v>0</v>
      </c>
      <c r="E49" s="79">
        <f>SUMIFS('Перечень инв.проектов ВС'!M$5:M$223,'Перечень инв.проектов ВС'!$C$5:$C$223,$S49,'Перечень инв.проектов ВС'!$I$5:$I$223,$C49)</f>
        <v>0</v>
      </c>
      <c r="F49" s="79">
        <f>SUMIFS('Перечень инв.проектов ВС'!N$5:N$223,'Перечень инв.проектов ВС'!$C$5:$C$223,$S49,'Перечень инв.проектов ВС'!$I$5:$I$223,$C49)</f>
        <v>0</v>
      </c>
      <c r="G49" s="79">
        <f>SUMIFS('Перечень инв.проектов ВС'!O$5:O$223,'Перечень инв.проектов ВС'!$C$5:$C$223,$S49,'Перечень инв.проектов ВС'!$I$5:$I$223,$C49)</f>
        <v>0</v>
      </c>
      <c r="H49" s="79">
        <f>SUMIFS('Перечень инв.проектов ВС'!P$5:P$223,'Перечень инв.проектов ВС'!$C$5:$C$223,$S49,'Перечень инв.проектов ВС'!$I$5:$I$223,$C49)</f>
        <v>0</v>
      </c>
      <c r="I49" s="79">
        <f>SUMIFS('Перечень инв.проектов ВС'!Q$5:Q$223,'Перечень инв.проектов ВС'!$C$5:$C$223,$S49,'Перечень инв.проектов ВС'!$I$5:$I$223,$C49)</f>
        <v>0</v>
      </c>
      <c r="J49" s="79">
        <f>SUMIFS('Перечень инв.проектов ВС'!R$5:R$223,'Перечень инв.проектов ВС'!$C$5:$C$223,$S49,'Перечень инв.проектов ВС'!$I$5:$I$223,$C49)</f>
        <v>0</v>
      </c>
      <c r="K49" s="79">
        <f>SUMIFS('Перечень инв.проектов ВС'!S$5:S$223,'Перечень инв.проектов ВС'!$C$5:$C$223,$S49,'Перечень инв.проектов ВС'!$I$5:$I$223,$C49)</f>
        <v>0</v>
      </c>
      <c r="L49" s="79">
        <f>SUMIFS('Перечень инв.проектов ВС'!T$5:T$223,'Перечень инв.проектов ВС'!$C$5:$C$223,$S49,'Перечень инв.проектов ВС'!$I$5:$I$223,$C49)</f>
        <v>0</v>
      </c>
      <c r="M49" s="79">
        <f>SUMIFS('Перечень инв.проектов ВС'!U$5:U$223,'Перечень инв.проектов ВС'!$C$5:$C$223,$S49,'Перечень инв.проектов ВС'!$I$5:$I$223,$C49)</f>
        <v>0</v>
      </c>
      <c r="N49" s="79">
        <f>SUMIFS('Перечень инв.проектов ВС'!V$5:V$223,'Перечень инв.проектов ВС'!$C$5:$C$223,$S49,'Перечень инв.проектов ВС'!$I$5:$I$223,$C49)</f>
        <v>0</v>
      </c>
      <c r="O49" s="79">
        <f>SUMIFS('Перечень инв.проектов ВС'!W$5:W$223,'Перечень инв.проектов ВС'!$C$5:$C$223,$S49,'Перечень инв.проектов ВС'!$I$5:$I$223,$C49)</f>
        <v>0</v>
      </c>
      <c r="P49" s="79">
        <f>SUMIFS('Перечень инв.проектов ВС'!X$5:X$223,'Перечень инв.проектов ВС'!$C$5:$C$223,$S49,'Перечень инв.проектов ВС'!$I$5:$I$223,$C49)</f>
        <v>0</v>
      </c>
      <c r="Q49" s="79">
        <f t="shared" si="19"/>
        <v>0</v>
      </c>
      <c r="R49" s="13"/>
      <c r="S49" s="69" t="s">
        <v>168</v>
      </c>
      <c r="AB49" s="17"/>
    </row>
    <row r="50" spans="2:29" x14ac:dyDescent="0.2">
      <c r="B50" s="479"/>
      <c r="C50" s="16" t="s">
        <v>310</v>
      </c>
      <c r="D50" s="79">
        <f>SUMIFS('Перечень инв.проектов ВС'!L$5:L$223,'Перечень инв.проектов ВС'!$C$5:$C$223,$S50,'Перечень инв.проектов ВС'!$I$5:$I$223,$C50)</f>
        <v>0</v>
      </c>
      <c r="E50" s="79">
        <f>SUMIFS('Перечень инв.проектов ВС'!M$5:M$223,'Перечень инв.проектов ВС'!$C$5:$C$223,$S50,'Перечень инв.проектов ВС'!$I$5:$I$223,$C50)</f>
        <v>5922.4048441158957</v>
      </c>
      <c r="F50" s="79">
        <f>SUMIFS('Перечень инв.проектов ВС'!N$5:N$223,'Перечень инв.проектов ВС'!$C$5:$C$223,$S50,'Перечень инв.проектов ВС'!$I$5:$I$223,$C50)</f>
        <v>5416.1141557582378</v>
      </c>
      <c r="G50" s="79">
        <f>SUMIFS('Перечень инв.проектов ВС'!O$5:O$223,'Перечень инв.проектов ВС'!$C$5:$C$223,$S50,'Перечень инв.проектов ВС'!$I$5:$I$223,$C50)</f>
        <v>5632.7587219885672</v>
      </c>
      <c r="H50" s="79">
        <f>SUMIFS('Перечень инв.проектов ВС'!P$5:P$223,'Перечень инв.проектов ВС'!$C$5:$C$223,$S50,'Перечень инв.проектов ВС'!$I$5:$I$223,$C50)</f>
        <v>2936.9604476788604</v>
      </c>
      <c r="I50" s="79">
        <f>SUMIFS('Перечень инв.проектов ВС'!Q$5:Q$223,'Перечень инв.проектов ВС'!$C$5:$C$223,$S50,'Перечень инв.проектов ВС'!$I$5:$I$223,$C50)</f>
        <v>3054.4388655860148</v>
      </c>
      <c r="J50" s="79">
        <f>SUMIFS('Перечень инв.проектов ВС'!R$5:R$223,'Перечень инв.проектов ВС'!$C$5:$C$223,$S50,'Перечень инв.проектов ВС'!$I$5:$I$223,$C50)</f>
        <v>3176.6164202094556</v>
      </c>
      <c r="K50" s="79">
        <f>SUMIFS('Перечень инв.проектов ВС'!S$5:S$223,'Перечень инв.проектов ВС'!$C$5:$C$223,$S50,'Перечень инв.проектов ВС'!$I$5:$I$223,$C50)</f>
        <v>3303.681077017834</v>
      </c>
      <c r="L50" s="79">
        <f>SUMIFS('Перечень инв.проектов ВС'!T$5:T$223,'Перечень инв.проектов ВС'!$C$5:$C$223,$S50,'Перечень инв.проектов ВС'!$I$5:$I$223,$C50)</f>
        <v>3435.8283200985475</v>
      </c>
      <c r="M50" s="79">
        <f>SUMIFS('Перечень инв.проектов ВС'!U$5:U$223,'Перечень инв.проектов ВС'!$C$5:$C$223,$S50,'Перечень инв.проектов ВС'!$I$5:$I$223,$C50)</f>
        <v>0</v>
      </c>
      <c r="N50" s="79">
        <f>SUMIFS('Перечень инв.проектов ВС'!V$5:V$223,'Перечень инв.проектов ВС'!$C$5:$C$223,$S50,'Перечень инв.проектов ВС'!$I$5:$I$223,$C50)</f>
        <v>0</v>
      </c>
      <c r="O50" s="79">
        <f>SUMIFS('Перечень инв.проектов ВС'!W$5:W$223,'Перечень инв.проектов ВС'!$C$5:$C$223,$S50,'Перечень инв.проектов ВС'!$I$5:$I$223,$C50)</f>
        <v>0</v>
      </c>
      <c r="P50" s="79">
        <f>SUMIFS('Перечень инв.проектов ВС'!X$5:X$223,'Перечень инв.проектов ВС'!$C$5:$C$223,$S50,'Перечень инв.проектов ВС'!$I$5:$I$223,$C50)</f>
        <v>0</v>
      </c>
      <c r="Q50" s="79">
        <f t="shared" si="19"/>
        <v>32878.802852453417</v>
      </c>
      <c r="R50" s="13"/>
      <c r="S50" s="69" t="s">
        <v>168</v>
      </c>
      <c r="AB50" s="17"/>
    </row>
    <row r="51" spans="2:29" ht="13.15" customHeight="1" x14ac:dyDescent="0.2">
      <c r="B51" s="471" t="s">
        <v>169</v>
      </c>
      <c r="C51" s="73" t="s">
        <v>216</v>
      </c>
      <c r="D51" s="77">
        <f t="shared" ref="D51" si="20">SUM(D52:D55)</f>
        <v>0</v>
      </c>
      <c r="E51" s="77">
        <f t="shared" ref="E51:P51" si="21">SUM(E52:E55)</f>
        <v>64644.008647137111</v>
      </c>
      <c r="F51" s="77">
        <f t="shared" si="21"/>
        <v>18161.996848265007</v>
      </c>
      <c r="G51" s="77">
        <f t="shared" si="21"/>
        <v>0</v>
      </c>
      <c r="H51" s="77">
        <f t="shared" si="21"/>
        <v>0</v>
      </c>
      <c r="I51" s="77">
        <f t="shared" si="21"/>
        <v>0</v>
      </c>
      <c r="J51" s="77">
        <f t="shared" si="21"/>
        <v>0</v>
      </c>
      <c r="K51" s="77">
        <f t="shared" si="21"/>
        <v>0</v>
      </c>
      <c r="L51" s="77">
        <f t="shared" si="21"/>
        <v>0</v>
      </c>
      <c r="M51" s="77">
        <f t="shared" si="21"/>
        <v>0</v>
      </c>
      <c r="N51" s="77">
        <f t="shared" si="21"/>
        <v>0</v>
      </c>
      <c r="O51" s="77">
        <f t="shared" si="21"/>
        <v>0</v>
      </c>
      <c r="P51" s="77">
        <f t="shared" si="21"/>
        <v>0</v>
      </c>
      <c r="Q51" s="77">
        <f t="shared" si="19"/>
        <v>82806.005495402118</v>
      </c>
      <c r="R51" s="13"/>
      <c r="S51" s="69"/>
      <c r="AB51" s="17"/>
    </row>
    <row r="52" spans="2:29" x14ac:dyDescent="0.2">
      <c r="B52" s="471"/>
      <c r="C52" s="10" t="s">
        <v>163</v>
      </c>
      <c r="D52" s="79">
        <f>SUMIFS('Перечень инв.проектов ВС'!L$5:L$223,'Перечень инв.проектов ВС'!$C$5:$C$223,$S52,'Перечень инв.проектов ВС'!$I$5:$I$223,$C52)</f>
        <v>0</v>
      </c>
      <c r="E52" s="79">
        <f>SUMIFS('Перечень инв.проектов ВС'!M$5:M$223,'Перечень инв.проектов ВС'!$C$5:$C$223,$S52,'Перечень инв.проектов ВС'!$I$5:$I$223,$C52)</f>
        <v>0</v>
      </c>
      <c r="F52" s="79">
        <f>SUMIFS('Перечень инв.проектов ВС'!N$5:N$223,'Перечень инв.проектов ВС'!$C$5:$C$223,$S52,'Перечень инв.проектов ВС'!$I$5:$I$223,$C52)</f>
        <v>0</v>
      </c>
      <c r="G52" s="79">
        <f>SUMIFS('Перечень инв.проектов ВС'!O$5:O$223,'Перечень инв.проектов ВС'!$C$5:$C$223,$S52,'Перечень инв.проектов ВС'!$I$5:$I$223,$C52)</f>
        <v>0</v>
      </c>
      <c r="H52" s="79">
        <f>SUMIFS('Перечень инв.проектов ВС'!P$5:P$223,'Перечень инв.проектов ВС'!$C$5:$C$223,$S52,'Перечень инв.проектов ВС'!$I$5:$I$223,$C52)</f>
        <v>0</v>
      </c>
      <c r="I52" s="79">
        <f>SUMIFS('Перечень инв.проектов ВС'!Q$5:Q$223,'Перечень инв.проектов ВС'!$C$5:$C$223,$S52,'Перечень инв.проектов ВС'!$I$5:$I$223,$C52)</f>
        <v>0</v>
      </c>
      <c r="J52" s="79">
        <f>SUMIFS('Перечень инв.проектов ВС'!R$5:R$223,'Перечень инв.проектов ВС'!$C$5:$C$223,$S52,'Перечень инв.проектов ВС'!$I$5:$I$223,$C52)</f>
        <v>0</v>
      </c>
      <c r="K52" s="79">
        <f>SUMIFS('Перечень инв.проектов ВС'!S$5:S$223,'Перечень инв.проектов ВС'!$C$5:$C$223,$S52,'Перечень инв.проектов ВС'!$I$5:$I$223,$C52)</f>
        <v>0</v>
      </c>
      <c r="L52" s="79">
        <f>SUMIFS('Перечень инв.проектов ВС'!T$5:T$223,'Перечень инв.проектов ВС'!$C$5:$C$223,$S52,'Перечень инв.проектов ВС'!$I$5:$I$223,$C52)</f>
        <v>0</v>
      </c>
      <c r="M52" s="79">
        <f>SUMIFS('Перечень инв.проектов ВС'!U$5:U$223,'Перечень инв.проектов ВС'!$C$5:$C$223,$S52,'Перечень инв.проектов ВС'!$I$5:$I$223,$C52)</f>
        <v>0</v>
      </c>
      <c r="N52" s="79">
        <f>SUMIFS('Перечень инв.проектов ВС'!V$5:V$223,'Перечень инв.проектов ВС'!$C$5:$C$223,$S52,'Перечень инв.проектов ВС'!$I$5:$I$223,$C52)</f>
        <v>0</v>
      </c>
      <c r="O52" s="79">
        <f>SUMIFS('Перечень инв.проектов ВС'!W$5:W$223,'Перечень инв.проектов ВС'!$C$5:$C$223,$S52,'Перечень инв.проектов ВС'!$I$5:$I$223,$C52)</f>
        <v>0</v>
      </c>
      <c r="P52" s="79">
        <f>SUMIFS('Перечень инв.проектов ВС'!X$5:X$223,'Перечень инв.проектов ВС'!$C$5:$C$223,$S52,'Перечень инв.проектов ВС'!$I$5:$I$223,$C52)</f>
        <v>0</v>
      </c>
      <c r="Q52" s="79">
        <f t="shared" si="19"/>
        <v>0</v>
      </c>
      <c r="R52" s="13"/>
      <c r="S52" s="69" t="s">
        <v>169</v>
      </c>
      <c r="AB52" s="17"/>
    </row>
    <row r="53" spans="2:29" ht="25.5" x14ac:dyDescent="0.2">
      <c r="B53" s="471"/>
      <c r="C53" s="16" t="s">
        <v>166</v>
      </c>
      <c r="D53" s="79">
        <f>SUMIFS('Перечень инв.проектов ВС'!L$5:L$223,'Перечень инв.проектов ВС'!$C$5:$C$223,$S53,'Перечень инв.проектов ВС'!$I$5:$I$223,$C53)</f>
        <v>0</v>
      </c>
      <c r="E53" s="79">
        <f>SUMIFS('Перечень инв.проектов ВС'!M$5:M$223,'Перечень инв.проектов ВС'!$C$5:$C$223,$S53,'Перечень инв.проектов ВС'!$I$5:$I$223,$C53)</f>
        <v>0</v>
      </c>
      <c r="F53" s="79">
        <f>SUMIFS('Перечень инв.проектов ВС'!N$5:N$223,'Перечень инв.проектов ВС'!$C$5:$C$223,$S53,'Перечень инв.проектов ВС'!$I$5:$I$223,$C53)</f>
        <v>0</v>
      </c>
      <c r="G53" s="79">
        <f>SUMIFS('Перечень инв.проектов ВС'!O$5:O$223,'Перечень инв.проектов ВС'!$C$5:$C$223,$S53,'Перечень инв.проектов ВС'!$I$5:$I$223,$C53)</f>
        <v>0</v>
      </c>
      <c r="H53" s="79">
        <f>SUMIFS('Перечень инв.проектов ВС'!P$5:P$223,'Перечень инв.проектов ВС'!$C$5:$C$223,$S53,'Перечень инв.проектов ВС'!$I$5:$I$223,$C53)</f>
        <v>0</v>
      </c>
      <c r="I53" s="79">
        <f>SUMIFS('Перечень инв.проектов ВС'!Q$5:Q$223,'Перечень инв.проектов ВС'!$C$5:$C$223,$S53,'Перечень инв.проектов ВС'!$I$5:$I$223,$C53)</f>
        <v>0</v>
      </c>
      <c r="J53" s="79">
        <f>SUMIFS('Перечень инв.проектов ВС'!R$5:R$223,'Перечень инв.проектов ВС'!$C$5:$C$223,$S53,'Перечень инв.проектов ВС'!$I$5:$I$223,$C53)</f>
        <v>0</v>
      </c>
      <c r="K53" s="79">
        <f>SUMIFS('Перечень инв.проектов ВС'!S$5:S$223,'Перечень инв.проектов ВС'!$C$5:$C$223,$S53,'Перечень инв.проектов ВС'!$I$5:$I$223,$C53)</f>
        <v>0</v>
      </c>
      <c r="L53" s="79">
        <f>SUMIFS('Перечень инв.проектов ВС'!T$5:T$223,'Перечень инв.проектов ВС'!$C$5:$C$223,$S53,'Перечень инв.проектов ВС'!$I$5:$I$223,$C53)</f>
        <v>0</v>
      </c>
      <c r="M53" s="79">
        <f>SUMIFS('Перечень инв.проектов ВС'!U$5:U$223,'Перечень инв.проектов ВС'!$C$5:$C$223,$S53,'Перечень инв.проектов ВС'!$I$5:$I$223,$C53)</f>
        <v>0</v>
      </c>
      <c r="N53" s="79">
        <f>SUMIFS('Перечень инв.проектов ВС'!V$5:V$223,'Перечень инв.проектов ВС'!$C$5:$C$223,$S53,'Перечень инв.проектов ВС'!$I$5:$I$223,$C53)</f>
        <v>0</v>
      </c>
      <c r="O53" s="79">
        <f>SUMIFS('Перечень инв.проектов ВС'!W$5:W$223,'Перечень инв.проектов ВС'!$C$5:$C$223,$S53,'Перечень инв.проектов ВС'!$I$5:$I$223,$C53)</f>
        <v>0</v>
      </c>
      <c r="P53" s="79">
        <f>SUMIFS('Перечень инв.проектов ВС'!X$5:X$223,'Перечень инв.проектов ВС'!$C$5:$C$223,$S53,'Перечень инв.проектов ВС'!$I$5:$I$223,$C53)</f>
        <v>0</v>
      </c>
      <c r="Q53" s="79">
        <f t="shared" si="19"/>
        <v>0</v>
      </c>
      <c r="R53" s="13"/>
      <c r="S53" s="69" t="s">
        <v>169</v>
      </c>
      <c r="AB53" s="17"/>
    </row>
    <row r="54" spans="2:29" x14ac:dyDescent="0.2">
      <c r="B54" s="471"/>
      <c r="C54" s="16" t="s">
        <v>155</v>
      </c>
      <c r="D54" s="79">
        <f>SUMIFS('Перечень инв.проектов ВС'!L$5:L$223,'Перечень инв.проектов ВС'!$C$5:$C$223,$S54,'Перечень инв.проектов ВС'!$I$5:$I$223,$C54)</f>
        <v>0</v>
      </c>
      <c r="E54" s="79">
        <f>SUMIFS('Перечень инв.проектов ВС'!M$5:M$223,'Перечень инв.проектов ВС'!$C$5:$C$223,$S54,'Перечень инв.проектов ВС'!$I$5:$I$223,$C54)</f>
        <v>0</v>
      </c>
      <c r="F54" s="79">
        <f>SUMIFS('Перечень инв.проектов ВС'!N$5:N$223,'Перечень инв.проектов ВС'!$C$5:$C$223,$S54,'Перечень инв.проектов ВС'!$I$5:$I$223,$C54)</f>
        <v>0</v>
      </c>
      <c r="G54" s="79">
        <f>SUMIFS('Перечень инв.проектов ВС'!O$5:O$223,'Перечень инв.проектов ВС'!$C$5:$C$223,$S54,'Перечень инв.проектов ВС'!$I$5:$I$223,$C54)</f>
        <v>0</v>
      </c>
      <c r="H54" s="79">
        <f>SUMIFS('Перечень инв.проектов ВС'!P$5:P$223,'Перечень инв.проектов ВС'!$C$5:$C$223,$S54,'Перечень инв.проектов ВС'!$I$5:$I$223,$C54)</f>
        <v>0</v>
      </c>
      <c r="I54" s="79">
        <f>SUMIFS('Перечень инв.проектов ВС'!Q$5:Q$223,'Перечень инв.проектов ВС'!$C$5:$C$223,$S54,'Перечень инв.проектов ВС'!$I$5:$I$223,$C54)</f>
        <v>0</v>
      </c>
      <c r="J54" s="79">
        <f>SUMIFS('Перечень инв.проектов ВС'!R$5:R$223,'Перечень инв.проектов ВС'!$C$5:$C$223,$S54,'Перечень инв.проектов ВС'!$I$5:$I$223,$C54)</f>
        <v>0</v>
      </c>
      <c r="K54" s="79">
        <f>SUMIFS('Перечень инв.проектов ВС'!S$5:S$223,'Перечень инв.проектов ВС'!$C$5:$C$223,$S54,'Перечень инв.проектов ВС'!$I$5:$I$223,$C54)</f>
        <v>0</v>
      </c>
      <c r="L54" s="79">
        <f>SUMIFS('Перечень инв.проектов ВС'!T$5:T$223,'Перечень инв.проектов ВС'!$C$5:$C$223,$S54,'Перечень инв.проектов ВС'!$I$5:$I$223,$C54)</f>
        <v>0</v>
      </c>
      <c r="M54" s="79">
        <f>SUMIFS('Перечень инв.проектов ВС'!U$5:U$223,'Перечень инв.проектов ВС'!$C$5:$C$223,$S54,'Перечень инв.проектов ВС'!$I$5:$I$223,$C54)</f>
        <v>0</v>
      </c>
      <c r="N54" s="79">
        <f>SUMIFS('Перечень инв.проектов ВС'!V$5:V$223,'Перечень инв.проектов ВС'!$C$5:$C$223,$S54,'Перечень инв.проектов ВС'!$I$5:$I$223,$C54)</f>
        <v>0</v>
      </c>
      <c r="O54" s="79">
        <f>SUMIFS('Перечень инв.проектов ВС'!W$5:W$223,'Перечень инв.проектов ВС'!$C$5:$C$223,$S54,'Перечень инв.проектов ВС'!$I$5:$I$223,$C54)</f>
        <v>0</v>
      </c>
      <c r="P54" s="79">
        <f>SUMIFS('Перечень инв.проектов ВС'!X$5:X$223,'Перечень инв.проектов ВС'!$C$5:$C$223,$S54,'Перечень инв.проектов ВС'!$I$5:$I$223,$C54)</f>
        <v>0</v>
      </c>
      <c r="Q54" s="79">
        <f t="shared" si="19"/>
        <v>0</v>
      </c>
      <c r="R54" s="13"/>
      <c r="S54" s="69" t="s">
        <v>169</v>
      </c>
      <c r="AB54" s="17"/>
    </row>
    <row r="55" spans="2:29" x14ac:dyDescent="0.2">
      <c r="B55" s="471"/>
      <c r="C55" s="16" t="s">
        <v>310</v>
      </c>
      <c r="D55" s="79">
        <f>SUMIFS('Перечень инв.проектов ВС'!L$5:L$223,'Перечень инв.проектов ВС'!$C$5:$C$223,$S55,'Перечень инв.проектов ВС'!$I$5:$I$223,$C55)</f>
        <v>0</v>
      </c>
      <c r="E55" s="79">
        <f>SUMIFS('Перечень инв.проектов ВС'!M$5:M$223,'Перечень инв.проектов ВС'!$C$5:$C$223,$S55,'Перечень инв.проектов ВС'!$I$5:$I$223,$C55)</f>
        <v>64644.008647137111</v>
      </c>
      <c r="F55" s="79">
        <f>SUMIFS('Перечень инв.проектов ВС'!N$5:N$223,'Перечень инв.проектов ВС'!$C$5:$C$223,$S55,'Перечень инв.проектов ВС'!$I$5:$I$223,$C55)</f>
        <v>18161.996848265007</v>
      </c>
      <c r="G55" s="79">
        <f>SUMIFS('Перечень инв.проектов ВС'!O$5:O$223,'Перечень инв.проектов ВС'!$C$5:$C$223,$S55,'Перечень инв.проектов ВС'!$I$5:$I$223,$C55)</f>
        <v>0</v>
      </c>
      <c r="H55" s="79">
        <f>SUMIFS('Перечень инв.проектов ВС'!P$5:P$223,'Перечень инв.проектов ВС'!$C$5:$C$223,$S55,'Перечень инв.проектов ВС'!$I$5:$I$223,$C55)</f>
        <v>0</v>
      </c>
      <c r="I55" s="79">
        <f>SUMIFS('Перечень инв.проектов ВС'!Q$5:Q$223,'Перечень инв.проектов ВС'!$C$5:$C$223,$S55,'Перечень инв.проектов ВС'!$I$5:$I$223,$C55)</f>
        <v>0</v>
      </c>
      <c r="J55" s="79">
        <f>SUMIFS('Перечень инв.проектов ВС'!R$5:R$223,'Перечень инв.проектов ВС'!$C$5:$C$223,$S55,'Перечень инв.проектов ВС'!$I$5:$I$223,$C55)</f>
        <v>0</v>
      </c>
      <c r="K55" s="79">
        <f>SUMIFS('Перечень инв.проектов ВС'!S$5:S$223,'Перечень инв.проектов ВС'!$C$5:$C$223,$S55,'Перечень инв.проектов ВС'!$I$5:$I$223,$C55)</f>
        <v>0</v>
      </c>
      <c r="L55" s="79">
        <f>SUMIFS('Перечень инв.проектов ВС'!T$5:T$223,'Перечень инв.проектов ВС'!$C$5:$C$223,$S55,'Перечень инв.проектов ВС'!$I$5:$I$223,$C55)</f>
        <v>0</v>
      </c>
      <c r="M55" s="79">
        <f>SUMIFS('Перечень инв.проектов ВС'!U$5:U$223,'Перечень инв.проектов ВС'!$C$5:$C$223,$S55,'Перечень инв.проектов ВС'!$I$5:$I$223,$C55)</f>
        <v>0</v>
      </c>
      <c r="N55" s="79">
        <f>SUMIFS('Перечень инв.проектов ВС'!V$5:V$223,'Перечень инв.проектов ВС'!$C$5:$C$223,$S55,'Перечень инв.проектов ВС'!$I$5:$I$223,$C55)</f>
        <v>0</v>
      </c>
      <c r="O55" s="79">
        <f>SUMIFS('Перечень инв.проектов ВС'!W$5:W$223,'Перечень инв.проектов ВС'!$C$5:$C$223,$S55,'Перечень инв.проектов ВС'!$I$5:$I$223,$C55)</f>
        <v>0</v>
      </c>
      <c r="P55" s="79">
        <f>SUMIFS('Перечень инв.проектов ВС'!X$5:X$223,'Перечень инв.проектов ВС'!$C$5:$C$223,$S55,'Перечень инв.проектов ВС'!$I$5:$I$223,$C55)</f>
        <v>0</v>
      </c>
      <c r="Q55" s="79">
        <f t="shared" si="19"/>
        <v>82806.005495402118</v>
      </c>
      <c r="R55" s="13"/>
      <c r="S55" s="69" t="s">
        <v>169</v>
      </c>
      <c r="AB55" s="17"/>
    </row>
    <row r="56" spans="2:29" x14ac:dyDescent="0.2">
      <c r="B56" s="471" t="s">
        <v>218</v>
      </c>
      <c r="C56" s="73" t="s">
        <v>216</v>
      </c>
      <c r="D56" s="77">
        <f t="shared" ref="D56" si="22">SUM(D57:D59)</f>
        <v>47711</v>
      </c>
      <c r="E56" s="77">
        <f t="shared" ref="E56:P56" si="23">SUM(E57:E59)</f>
        <v>312059.91615478887</v>
      </c>
      <c r="F56" s="77">
        <f t="shared" si="23"/>
        <v>348624.68468579609</v>
      </c>
      <c r="G56" s="77">
        <f t="shared" si="23"/>
        <v>304659.95329480903</v>
      </c>
      <c r="H56" s="77">
        <f t="shared" si="23"/>
        <v>104423.65764849125</v>
      </c>
      <c r="I56" s="77">
        <f t="shared" si="23"/>
        <v>107444.7928483049</v>
      </c>
      <c r="J56" s="77">
        <f t="shared" si="23"/>
        <v>111742.5845622371</v>
      </c>
      <c r="K56" s="77">
        <f t="shared" si="23"/>
        <v>116212.28794472659</v>
      </c>
      <c r="L56" s="77">
        <f t="shared" si="23"/>
        <v>63637.330331459983</v>
      </c>
      <c r="M56" s="77">
        <f t="shared" si="23"/>
        <v>62609.562091815897</v>
      </c>
      <c r="N56" s="77">
        <f t="shared" si="23"/>
        <v>65113.944575488531</v>
      </c>
      <c r="O56" s="77">
        <f t="shared" si="23"/>
        <v>67718.502358508078</v>
      </c>
      <c r="P56" s="77">
        <f t="shared" si="23"/>
        <v>70427.242452848397</v>
      </c>
      <c r="Q56" s="77">
        <f t="shared" si="19"/>
        <v>1782385.4589492748</v>
      </c>
      <c r="R56" s="93">
        <f>R29</f>
        <v>1782385.4589492748</v>
      </c>
      <c r="S56" s="69"/>
      <c r="AB56" s="17"/>
    </row>
    <row r="57" spans="2:29" ht="25.5" x14ac:dyDescent="0.2">
      <c r="B57" s="471"/>
      <c r="C57" s="74" t="s">
        <v>222</v>
      </c>
      <c r="D57" s="79">
        <f>SUMIFS('Перечень инв.проектов ВС'!L$4:L$223,'Перечень инв.проектов ВС'!$D$4:$D$223,'Программа инв. проектов'!$S57)</f>
        <v>0</v>
      </c>
      <c r="E57" s="79">
        <f>SUMIFS('Перечень инв.проектов ВС'!M$4:M$223,'Перечень инв.проектов ВС'!$D$4:$D$223,'Программа инв. проектов'!$S57)</f>
        <v>0</v>
      </c>
      <c r="F57" s="79">
        <f>SUMIFS('Перечень инв.проектов ВС'!N$4:N$223,'Перечень инв.проектов ВС'!$D$4:$D$223,'Программа инв. проектов'!$S57)</f>
        <v>0</v>
      </c>
      <c r="G57" s="79">
        <f>SUMIFS('Перечень инв.проектов ВС'!O$4:O$223,'Перечень инв.проектов ВС'!$D$4:$D$223,'Программа инв. проектов'!$S57)</f>
        <v>0</v>
      </c>
      <c r="H57" s="79">
        <f>SUMIFS('Перечень инв.проектов ВС'!P$4:P$223,'Перечень инв.проектов ВС'!$D$4:$D$223,'Программа инв. проектов'!$S57)</f>
        <v>0</v>
      </c>
      <c r="I57" s="79">
        <f>SUMIFS('Перечень инв.проектов ВС'!Q$4:Q$223,'Перечень инв.проектов ВС'!$D$4:$D$223,'Программа инв. проектов'!$S57)</f>
        <v>0</v>
      </c>
      <c r="J57" s="79">
        <f>SUMIFS('Перечень инв.проектов ВС'!R$4:R$223,'Перечень инв.проектов ВС'!$D$4:$D$223,'Программа инв. проектов'!$S57)</f>
        <v>0</v>
      </c>
      <c r="K57" s="79">
        <f>SUMIFS('Перечень инв.проектов ВС'!S$4:S$223,'Перечень инв.проектов ВС'!$D$4:$D$223,'Программа инв. проектов'!$S57)</f>
        <v>0</v>
      </c>
      <c r="L57" s="79">
        <f>SUMIFS('Перечень инв.проектов ВС'!T$4:T$223,'Перечень инв.проектов ВС'!$D$4:$D$223,'Программа инв. проектов'!$S57)</f>
        <v>0</v>
      </c>
      <c r="M57" s="79">
        <f>SUMIFS('Перечень инв.проектов ВС'!U$4:U$223,'Перечень инв.проектов ВС'!$D$4:$D$223,'Программа инв. проектов'!$S57)</f>
        <v>0</v>
      </c>
      <c r="N57" s="79">
        <f>SUMIFS('Перечень инв.проектов ВС'!V$4:V$223,'Перечень инв.проектов ВС'!$D$4:$D$223,'Программа инв. проектов'!$S57)</f>
        <v>0</v>
      </c>
      <c r="O57" s="79">
        <f>SUMIFS('Перечень инв.проектов ВС'!W$4:W$223,'Перечень инв.проектов ВС'!$D$4:$D$223,'Программа инв. проектов'!$S57)</f>
        <v>0</v>
      </c>
      <c r="P57" s="79">
        <f>SUMIFS('Перечень инв.проектов ВС'!X$4:X$223,'Перечень инв.проектов ВС'!$D$4:$D$223,'Программа инв. проектов'!$S57)</f>
        <v>0</v>
      </c>
      <c r="Q57" s="79">
        <f t="shared" si="19"/>
        <v>0</v>
      </c>
      <c r="R57" s="13"/>
      <c r="S57" s="69" t="s">
        <v>154</v>
      </c>
      <c r="AB57" s="17"/>
    </row>
    <row r="58" spans="2:29" ht="25.5" x14ac:dyDescent="0.2">
      <c r="B58" s="471"/>
      <c r="C58" s="74" t="s">
        <v>223</v>
      </c>
      <c r="D58" s="79">
        <f>SUMIFS('Перечень инв.проектов ВС'!L$4:L$223,'Перечень инв.проектов ВС'!$D$4:$D$223,'Программа инв. проектов'!$S58)</f>
        <v>0</v>
      </c>
      <c r="E58" s="79">
        <f>SUMIFS('Перечень инв.проектов ВС'!M$4:M$223,'Перечень инв.проектов ВС'!$D$4:$D$223,'Программа инв. проектов'!$S58)</f>
        <v>7985.1912348268097</v>
      </c>
      <c r="F58" s="79">
        <f>SUMIFS('Перечень инв.проектов ВС'!N$4:N$223,'Перечень инв.проектов ВС'!$D$4:$D$223,'Программа инв. проектов'!$S58)</f>
        <v>5660.043266526116</v>
      </c>
      <c r="G58" s="79">
        <f>SUMIFS('Перечень инв.проектов ВС'!O$4:O$223,'Перечень инв.проектов ВС'!$D$4:$D$223,'Программа инв. проектов'!$S58)</f>
        <v>5943.2255300672778</v>
      </c>
      <c r="H58" s="79">
        <f>SUMIFS('Перечень инв.проектов ВС'!P$4:P$223,'Перечень инв.проектов ВС'!$D$4:$D$223,'Программа инв. проектов'!$S58)</f>
        <v>2936.9604476788604</v>
      </c>
      <c r="I58" s="79">
        <f>SUMIFS('Перечень инв.проектов ВС'!Q$4:Q$223,'Перечень инв.проектов ВС'!$D$4:$D$223,'Программа инв. проектов'!$S58)</f>
        <v>3054.4388655860148</v>
      </c>
      <c r="J58" s="79">
        <f>SUMIFS('Перечень инв.проектов ВС'!R$4:R$223,'Перечень инв.проектов ВС'!$D$4:$D$223,'Программа инв. проектов'!$S58)</f>
        <v>3176.6164202094556</v>
      </c>
      <c r="K58" s="79">
        <f>SUMIFS('Перечень инв.проектов ВС'!S$4:S$223,'Перечень инв.проектов ВС'!$D$4:$D$223,'Программа инв. проектов'!$S58)</f>
        <v>3303.681077017834</v>
      </c>
      <c r="L58" s="79">
        <f>SUMIFS('Перечень инв.проектов ВС'!T$4:T$223,'Перечень инв.проектов ВС'!$D$4:$D$223,'Программа инв. проектов'!$S58)</f>
        <v>3435.8283200985475</v>
      </c>
      <c r="M58" s="79">
        <f>SUMIFS('Перечень инв.проектов ВС'!U$4:U$223,'Перечень инв.проектов ВС'!$D$4:$D$223,'Программа инв. проектов'!$S58)</f>
        <v>0</v>
      </c>
      <c r="N58" s="79">
        <f>SUMIFS('Перечень инв.проектов ВС'!V$4:V$223,'Перечень инв.проектов ВС'!$D$4:$D$223,'Программа инв. проектов'!$S58)</f>
        <v>0</v>
      </c>
      <c r="O58" s="79">
        <f>SUMIFS('Перечень инв.проектов ВС'!W$4:W$223,'Перечень инв.проектов ВС'!$D$4:$D$223,'Программа инв. проектов'!$S58)</f>
        <v>0</v>
      </c>
      <c r="P58" s="79">
        <f>SUMIFS('Перечень инв.проектов ВС'!X$4:X$223,'Перечень инв.проектов ВС'!$D$4:$D$223,'Программа инв. проектов'!$S58)</f>
        <v>0</v>
      </c>
      <c r="Q58" s="79">
        <f t="shared" si="19"/>
        <v>35495.985162010918</v>
      </c>
      <c r="R58" s="13"/>
      <c r="S58" s="69" t="s">
        <v>162</v>
      </c>
      <c r="AB58" s="17"/>
    </row>
    <row r="59" spans="2:29" ht="25.5" x14ac:dyDescent="0.2">
      <c r="B59" s="471"/>
      <c r="C59" s="74" t="s">
        <v>221</v>
      </c>
      <c r="D59" s="79">
        <f>SUMIFS('Перечень инв.проектов ВС'!L$4:L$223,'Перечень инв.проектов ВС'!$D$4:$D$223,'Программа инв. проектов'!$S59)</f>
        <v>47711</v>
      </c>
      <c r="E59" s="79">
        <f>SUMIFS('Перечень инв.проектов ВС'!M$4:M$223,'Перечень инв.проектов ВС'!$D$4:$D$223,'Программа инв. проектов'!$S59)</f>
        <v>304074.72491996206</v>
      </c>
      <c r="F59" s="79">
        <f>SUMIFS('Перечень инв.проектов ВС'!N$4:N$223,'Перечень инв.проектов ВС'!$D$4:$D$223,'Программа инв. проектов'!$S59)</f>
        <v>342964.64141926996</v>
      </c>
      <c r="G59" s="79">
        <f>SUMIFS('Перечень инв.проектов ВС'!O$4:O$223,'Перечень инв.проектов ВС'!$D$4:$D$223,'Программа инв. проектов'!$S59)</f>
        <v>298716.72776474175</v>
      </c>
      <c r="H59" s="79">
        <f>SUMIFS('Перечень инв.проектов ВС'!P$4:P$223,'Перечень инв.проектов ВС'!$D$4:$D$223,'Программа инв. проектов'!$S59)</f>
        <v>101486.69720081238</v>
      </c>
      <c r="I59" s="79">
        <f>SUMIFS('Перечень инв.проектов ВС'!Q$4:Q$223,'Перечень инв.проектов ВС'!$D$4:$D$223,'Программа инв. проектов'!$S59)</f>
        <v>104390.35398271889</v>
      </c>
      <c r="J59" s="79">
        <f>SUMIFS('Перечень инв.проектов ВС'!R$4:R$223,'Перечень инв.проектов ВС'!$D$4:$D$223,'Программа инв. проектов'!$S59)</f>
        <v>108565.96814202765</v>
      </c>
      <c r="K59" s="79">
        <f>SUMIFS('Перечень инв.проектов ВС'!S$4:S$223,'Перечень инв.проектов ВС'!$D$4:$D$223,'Программа инв. проектов'!$S59)</f>
        <v>112908.60686770876</v>
      </c>
      <c r="L59" s="79">
        <f>SUMIFS('Перечень инв.проектов ВС'!T$4:T$223,'Перечень инв.проектов ВС'!$D$4:$D$223,'Программа инв. проектов'!$S59)</f>
        <v>60201.502011361437</v>
      </c>
      <c r="M59" s="79">
        <f>SUMIFS('Перечень инв.проектов ВС'!U$4:U$223,'Перечень инв.проектов ВС'!$D$4:$D$223,'Программа инв. проектов'!$S59)</f>
        <v>62609.562091815897</v>
      </c>
      <c r="N59" s="79">
        <f>SUMIFS('Перечень инв.проектов ВС'!V$4:V$223,'Перечень инв.проектов ВС'!$D$4:$D$223,'Программа инв. проектов'!$S59)</f>
        <v>65113.944575488531</v>
      </c>
      <c r="O59" s="79">
        <f>SUMIFS('Перечень инв.проектов ВС'!W$4:W$223,'Перечень инв.проектов ВС'!$D$4:$D$223,'Программа инв. проектов'!$S59)</f>
        <v>67718.502358508078</v>
      </c>
      <c r="P59" s="79">
        <f>SUMIFS('Перечень инв.проектов ВС'!X$4:X$223,'Перечень инв.проектов ВС'!$D$4:$D$223,'Программа инв. проектов'!$S59)</f>
        <v>70427.242452848397</v>
      </c>
      <c r="Q59" s="79">
        <f t="shared" si="19"/>
        <v>1746889.4737872642</v>
      </c>
      <c r="R59" s="13"/>
      <c r="S59" s="69" t="s">
        <v>165</v>
      </c>
      <c r="AB59" s="17"/>
    </row>
    <row r="60" spans="2:29" ht="13.5" x14ac:dyDescent="0.2">
      <c r="B60" s="477" t="s">
        <v>201</v>
      </c>
      <c r="C60" s="477"/>
      <c r="D60" s="78">
        <f t="shared" ref="D60:G60" si="24">SUM(D61)</f>
        <v>50000</v>
      </c>
      <c r="E60" s="78">
        <f t="shared" si="24"/>
        <v>241484.43601065714</v>
      </c>
      <c r="F60" s="78">
        <f t="shared" si="24"/>
        <v>819973.14006745815</v>
      </c>
      <c r="G60" s="78">
        <f t="shared" si="24"/>
        <v>152292.65567015641</v>
      </c>
      <c r="H60" s="78">
        <f t="shared" ref="H60" si="25">SUM(H61)</f>
        <v>96935.222696962664</v>
      </c>
      <c r="I60" s="78">
        <f t="shared" ref="I60" si="26">SUM(I61)</f>
        <v>187707.50261808082</v>
      </c>
      <c r="J60" s="78">
        <f t="shared" ref="J60" si="27">SUM(J61)</f>
        <v>200311.02232280403</v>
      </c>
      <c r="K60" s="78">
        <f t="shared" ref="K60" si="28">SUM(K61)</f>
        <v>208323.46521571622</v>
      </c>
      <c r="L60" s="78">
        <f t="shared" ref="L60" si="29">SUM(L61)</f>
        <v>219683.65462434484</v>
      </c>
      <c r="M60" s="78">
        <f t="shared" ref="M60" si="30">SUM(M61)</f>
        <v>228471.00720931863</v>
      </c>
      <c r="N60" s="78">
        <f t="shared" ref="N60" si="31">SUM(N61)</f>
        <v>307856.90444806498</v>
      </c>
      <c r="O60" s="78">
        <f t="shared" ref="O60" si="32">SUM(O61)</f>
        <v>311627.05979319819</v>
      </c>
      <c r="P60" s="78">
        <f t="shared" ref="P60" si="33">SUM(P61)</f>
        <v>248112.91031028208</v>
      </c>
      <c r="Q60" s="78">
        <f t="shared" si="19"/>
        <v>3272778.9809870441</v>
      </c>
      <c r="R60" s="93">
        <f>'Перечень инв.проектов ВО'!Y35</f>
        <v>3272778.9809870441</v>
      </c>
      <c r="S60" s="69"/>
      <c r="AC60" s="17"/>
    </row>
    <row r="61" spans="2:29" ht="13.5" x14ac:dyDescent="0.2">
      <c r="B61" s="478" t="s">
        <v>564</v>
      </c>
      <c r="C61" s="478"/>
      <c r="D61" s="78">
        <f>SUM(D62,D67,D72,D77)</f>
        <v>50000</v>
      </c>
      <c r="E61" s="78">
        <f>SUM(E62,E67,E72,E77)</f>
        <v>241484.43601065714</v>
      </c>
      <c r="F61" s="78">
        <f>SUM(F62,F67,F72,F77)</f>
        <v>819973.14006745815</v>
      </c>
      <c r="G61" s="78">
        <f>SUM(G62,G67,G72,G77)</f>
        <v>152292.65567015641</v>
      </c>
      <c r="H61" s="78">
        <f t="shared" ref="H61:P61" si="34">SUM(H62,H67,H72,H77)</f>
        <v>96935.222696962664</v>
      </c>
      <c r="I61" s="78">
        <f t="shared" si="34"/>
        <v>187707.50261808082</v>
      </c>
      <c r="J61" s="78">
        <f t="shared" si="34"/>
        <v>200311.02232280403</v>
      </c>
      <c r="K61" s="78">
        <f t="shared" si="34"/>
        <v>208323.46521571622</v>
      </c>
      <c r="L61" s="78">
        <f t="shared" si="34"/>
        <v>219683.65462434484</v>
      </c>
      <c r="M61" s="78">
        <f t="shared" si="34"/>
        <v>228471.00720931863</v>
      </c>
      <c r="N61" s="78">
        <f t="shared" si="34"/>
        <v>307856.90444806498</v>
      </c>
      <c r="O61" s="78">
        <f t="shared" si="34"/>
        <v>311627.05979319819</v>
      </c>
      <c r="P61" s="78">
        <f t="shared" si="34"/>
        <v>248112.91031028208</v>
      </c>
      <c r="Q61" s="78">
        <f t="shared" si="19"/>
        <v>3272778.9809870441</v>
      </c>
      <c r="R61" s="93">
        <f>Q61-Q82</f>
        <v>0</v>
      </c>
      <c r="S61" s="69"/>
      <c r="AC61" s="17"/>
    </row>
    <row r="62" spans="2:29" x14ac:dyDescent="0.2">
      <c r="B62" s="479" t="s">
        <v>153</v>
      </c>
      <c r="C62" s="73" t="s">
        <v>216</v>
      </c>
      <c r="D62" s="77">
        <f t="shared" ref="D62:G62" si="35">SUM(D63:D66)</f>
        <v>0</v>
      </c>
      <c r="E62" s="77">
        <f t="shared" si="35"/>
        <v>48638.326010657162</v>
      </c>
      <c r="F62" s="77">
        <f t="shared" si="35"/>
        <v>62691.656913504463</v>
      </c>
      <c r="G62" s="77">
        <f t="shared" si="35"/>
        <v>65199.323190044648</v>
      </c>
      <c r="H62" s="77">
        <f t="shared" ref="H62:Q62" si="36">SUM(H63:H66)</f>
        <v>67807.296117646431</v>
      </c>
      <c r="I62" s="77">
        <f t="shared" si="36"/>
        <v>70519.587962352292</v>
      </c>
      <c r="J62" s="77">
        <f t="shared" si="36"/>
        <v>73340.371480846385</v>
      </c>
      <c r="K62" s="77">
        <f t="shared" si="36"/>
        <v>76273.986340080242</v>
      </c>
      <c r="L62" s="77">
        <f t="shared" si="36"/>
        <v>79324.945793683451</v>
      </c>
      <c r="M62" s="77">
        <f t="shared" si="36"/>
        <v>82497.943625430795</v>
      </c>
      <c r="N62" s="77">
        <f t="shared" si="36"/>
        <v>85797.861370448023</v>
      </c>
      <c r="O62" s="77">
        <f t="shared" si="36"/>
        <v>89229.775825265955</v>
      </c>
      <c r="P62" s="77">
        <f t="shared" si="36"/>
        <v>92798.966858276588</v>
      </c>
      <c r="Q62" s="77">
        <f t="shared" si="36"/>
        <v>894120.0414882364</v>
      </c>
      <c r="R62" s="13"/>
      <c r="S62" s="69"/>
      <c r="AC62" s="17"/>
    </row>
    <row r="63" spans="2:29" x14ac:dyDescent="0.2">
      <c r="B63" s="479"/>
      <c r="C63" s="10" t="s">
        <v>163</v>
      </c>
      <c r="D63" s="63">
        <f>SUMIFS('Перечень инв.проектов ВО'!L$4:L$226,'Перечень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E63" s="63">
        <f>SUMIFS('Перечень инв.проектов ВО'!M$4:M$226,'Перечень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F63" s="63">
        <f>SUMIFS('Перечень инв.проектов ВО'!N$4:N$226,'Перечень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G63" s="63">
        <f>SUMIFS('Перечень инв.проектов ВО'!O$4:O$226,'Перечень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H63" s="63">
        <f>SUMIFS('Перечень инв.проектов ВО'!P$4:P$226,'Перечень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I63" s="63">
        <f>SUMIFS('Перечень инв.проектов ВО'!Q$4:Q$226,'Перечень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J63" s="63">
        <f>SUMIFS('Перечень инв.проектов ВО'!R$4:R$226,'Перечень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K63" s="63">
        <f>SUMIFS('Перечень инв.проектов ВО'!S$4:S$226,'Перечень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L63" s="63">
        <f>SUMIFS('Перечень инв.проектов ВО'!T$4:T$226,'Перечень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M63" s="63">
        <f>SUMIFS('Перечень инв.проектов ВО'!U$4:U$226,'Перечень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N63" s="63">
        <f>SUMIFS('Перечень инв.проектов ВО'!V$4:V$226,'Перечень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O63" s="63">
        <f>SUMIFS('Перечень инв.проектов ВО'!W$4:W$226,'Перечень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P63" s="63">
        <f>SUMIFS('Перечень инв.проектов ВО'!X$4:X$226,'Перечень инв.проектов ВО'!$C$4:$C$226,'Программа инв. проектов'!$S63,'Перечень инв.проектов ВО'!$I$4:$I$226,'Программа инв. проектов'!$C63,'Перечень инв.проектов ВО'!$B$4:$B$226,$B$61)</f>
        <v>0</v>
      </c>
      <c r="Q63" s="62">
        <f t="shared" ref="Q63:Q81" si="37">SUM(D63:P63)</f>
        <v>0</v>
      </c>
      <c r="R63" s="13"/>
      <c r="S63" s="69" t="s">
        <v>153</v>
      </c>
      <c r="AC63" s="17"/>
    </row>
    <row r="64" spans="2:29" ht="25.5" x14ac:dyDescent="0.2">
      <c r="B64" s="479"/>
      <c r="C64" s="16" t="s">
        <v>166</v>
      </c>
      <c r="D64" s="63">
        <f>SUMIFS('Перечень инв.проектов ВО'!L$4:L$226,'Перечень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E64" s="63">
        <f>SUMIFS('Перечень инв.проектов ВО'!M$4:M$226,'Перечень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F64" s="63">
        <f>SUMIFS('Перечень инв.проектов ВО'!N$4:N$226,'Перечень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G64" s="63">
        <f>SUMIFS('Перечень инв.проектов ВО'!O$4:O$226,'Перечень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H64" s="63">
        <f>SUMIFS('Перечень инв.проектов ВО'!P$4:P$226,'Перечень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I64" s="63">
        <f>SUMIFS('Перечень инв.проектов ВО'!Q$4:Q$226,'Перечень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J64" s="63">
        <f>SUMIFS('Перечень инв.проектов ВО'!R$4:R$226,'Перечень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K64" s="63">
        <f>SUMIFS('Перечень инв.проектов ВО'!S$4:S$226,'Перечень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L64" s="63">
        <f>SUMIFS('Перечень инв.проектов ВО'!T$4:T$226,'Перечень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M64" s="63">
        <f>SUMIFS('Перечень инв.проектов ВО'!U$4:U$226,'Перечень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N64" s="63">
        <f>SUMIFS('Перечень инв.проектов ВО'!V$4:V$226,'Перечень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O64" s="63">
        <f>SUMIFS('Перечень инв.проектов ВО'!W$4:W$226,'Перечень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P64" s="63">
        <f>SUMIFS('Перечень инв.проектов ВО'!X$4:X$226,'Перечень инв.проектов ВО'!$C$4:$C$226,'Программа инв. проектов'!$S64,'Перечень инв.проектов ВО'!$I$4:$I$226,'Программа инв. проектов'!$C64,'Перечень инв.проектов ВО'!$B$4:$B$226,$B$61)</f>
        <v>0</v>
      </c>
      <c r="Q64" s="62">
        <f t="shared" si="37"/>
        <v>0</v>
      </c>
      <c r="R64" s="13"/>
      <c r="S64" s="69" t="s">
        <v>153</v>
      </c>
      <c r="AC64" s="17"/>
    </row>
    <row r="65" spans="2:29" x14ac:dyDescent="0.2">
      <c r="B65" s="479"/>
      <c r="C65" s="16" t="s">
        <v>155</v>
      </c>
      <c r="D65" s="63">
        <f>SUMIFS('Перечень инв.проектов ВО'!L$4:L$226,'Перечень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E65" s="63">
        <f>SUMIFS('Перечень инв.проектов ВО'!M$4:M$226,'Перечень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F65" s="63">
        <f>SUMIFS('Перечень инв.проектов ВО'!N$4:N$226,'Перечень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G65" s="63">
        <f>SUMIFS('Перечень инв.проектов ВО'!O$4:O$226,'Перечень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H65" s="63">
        <f>SUMIFS('Перечень инв.проектов ВО'!P$4:P$226,'Перечень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I65" s="63">
        <f>SUMIFS('Перечень инв.проектов ВО'!Q$4:Q$226,'Перечень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J65" s="63">
        <f>SUMIFS('Перечень инв.проектов ВО'!R$4:R$226,'Перечень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K65" s="63">
        <f>SUMIFS('Перечень инв.проектов ВО'!S$4:S$226,'Перечень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L65" s="63">
        <f>SUMIFS('Перечень инв.проектов ВО'!T$4:T$226,'Перечень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M65" s="63">
        <f>SUMIFS('Перечень инв.проектов ВО'!U$4:U$226,'Перечень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N65" s="63">
        <f>SUMIFS('Перечень инв.проектов ВО'!V$4:V$226,'Перечень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O65" s="63">
        <f>SUMIFS('Перечень инв.проектов ВО'!W$4:W$226,'Перечень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P65" s="63">
        <f>SUMIFS('Перечень инв.проектов ВО'!X$4:X$226,'Перечень инв.проектов ВО'!$C$4:$C$226,'Программа инв. проектов'!$S65,'Перечень инв.проектов ВО'!$I$4:$I$226,'Программа инв. проектов'!$C65,'Перечень инв.проектов ВО'!$B$4:$B$226,$B$61)</f>
        <v>0</v>
      </c>
      <c r="Q65" s="62">
        <f t="shared" si="37"/>
        <v>0</v>
      </c>
      <c r="R65" s="13"/>
      <c r="S65" s="69" t="s">
        <v>153</v>
      </c>
      <c r="AC65" s="17"/>
    </row>
    <row r="66" spans="2:29" x14ac:dyDescent="0.2">
      <c r="B66" s="479"/>
      <c r="C66" s="16" t="s">
        <v>310</v>
      </c>
      <c r="D66" s="63">
        <f>SUMIFS('Перечень инв.проектов ВО'!L$4:L$226,'Перечень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0</v>
      </c>
      <c r="E66" s="63">
        <f>SUMIFS('Перечень инв.проектов ВО'!M$4:M$226,'Перечень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48638.326010657162</v>
      </c>
      <c r="F66" s="63">
        <f>SUMIFS('Перечень инв.проектов ВО'!N$4:N$226,'Перечень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62691.656913504463</v>
      </c>
      <c r="G66" s="63">
        <f>SUMIFS('Перечень инв.проектов ВО'!O$4:O$226,'Перечень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65199.323190044648</v>
      </c>
      <c r="H66" s="63">
        <f>SUMIFS('Перечень инв.проектов ВО'!P$4:P$226,'Перечень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67807.296117646431</v>
      </c>
      <c r="I66" s="63">
        <f>SUMIFS('Перечень инв.проектов ВО'!Q$4:Q$226,'Перечень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70519.587962352292</v>
      </c>
      <c r="J66" s="63">
        <f>SUMIFS('Перечень инв.проектов ВО'!R$4:R$226,'Перечень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73340.371480846385</v>
      </c>
      <c r="K66" s="63">
        <f>SUMIFS('Перечень инв.проектов ВО'!S$4:S$226,'Перечень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76273.986340080242</v>
      </c>
      <c r="L66" s="63">
        <f>SUMIFS('Перечень инв.проектов ВО'!T$4:T$226,'Перечень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79324.945793683451</v>
      </c>
      <c r="M66" s="63">
        <f>SUMIFS('Перечень инв.проектов ВО'!U$4:U$226,'Перечень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82497.943625430795</v>
      </c>
      <c r="N66" s="63">
        <f>SUMIFS('Перечень инв.проектов ВО'!V$4:V$226,'Перечень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85797.861370448023</v>
      </c>
      <c r="O66" s="63">
        <f>SUMIFS('Перечень инв.проектов ВО'!W$4:W$226,'Перечень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89229.775825265955</v>
      </c>
      <c r="P66" s="63">
        <f>SUMIFS('Перечень инв.проектов ВО'!X$4:X$226,'Перечень инв.проектов ВО'!$C$4:$C$226,'Программа инв. проектов'!$S66,'Перечень инв.проектов ВО'!$I$4:$I$226,'Программа инв. проектов'!$C66,'Перечень инв.проектов ВО'!$B$4:$B$226,$B$61)</f>
        <v>92798.966858276588</v>
      </c>
      <c r="Q66" s="62">
        <f t="shared" si="37"/>
        <v>894120.0414882364</v>
      </c>
      <c r="R66" s="13"/>
      <c r="S66" s="69" t="s">
        <v>153</v>
      </c>
      <c r="AC66" s="17"/>
    </row>
    <row r="67" spans="2:29" ht="13.15" customHeight="1" x14ac:dyDescent="0.2">
      <c r="B67" s="479" t="s">
        <v>164</v>
      </c>
      <c r="C67" s="73" t="s">
        <v>216</v>
      </c>
      <c r="D67" s="77">
        <f t="shared" ref="D67:G67" si="38">SUM(D68:D71)</f>
        <v>50000</v>
      </c>
      <c r="E67" s="77">
        <f t="shared" si="38"/>
        <v>192846.11</v>
      </c>
      <c r="F67" s="77">
        <f t="shared" si="38"/>
        <v>751278.5</v>
      </c>
      <c r="G67" s="77">
        <f t="shared" si="38"/>
        <v>80850.23</v>
      </c>
      <c r="H67" s="77">
        <f t="shared" ref="H67:P67" si="39">SUM(H68:H71)</f>
        <v>22635.1</v>
      </c>
      <c r="I67" s="77">
        <f t="shared" si="39"/>
        <v>6485.19</v>
      </c>
      <c r="J67" s="77">
        <f t="shared" si="39"/>
        <v>11839.82</v>
      </c>
      <c r="K67" s="77">
        <f t="shared" si="39"/>
        <v>12313.41</v>
      </c>
      <c r="L67" s="77">
        <f t="shared" si="39"/>
        <v>15833.2</v>
      </c>
      <c r="M67" s="77">
        <f t="shared" si="39"/>
        <v>16466.53</v>
      </c>
      <c r="N67" s="77">
        <f t="shared" si="39"/>
        <v>17125.18</v>
      </c>
      <c r="O67" s="77">
        <f t="shared" si="39"/>
        <v>17810.189999999999</v>
      </c>
      <c r="P67" s="77">
        <f t="shared" si="39"/>
        <v>18522.589999999997</v>
      </c>
      <c r="Q67" s="78">
        <f t="shared" si="37"/>
        <v>1214006.05</v>
      </c>
      <c r="R67" s="13"/>
      <c r="S67" s="69"/>
      <c r="AC67" s="17"/>
    </row>
    <row r="68" spans="2:29" x14ac:dyDescent="0.2">
      <c r="B68" s="479"/>
      <c r="C68" s="10" t="s">
        <v>163</v>
      </c>
      <c r="D68" s="63">
        <f>SUMIFS('Перечень инв.проектов ВО'!L$4:L$226,'Перечень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50000</v>
      </c>
      <c r="E68" s="63">
        <f>SUMIFS('Перечень инв.проектов ВО'!M$4:M$226,'Перечень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173000</v>
      </c>
      <c r="F68" s="63">
        <f>SUMIFS('Перечень инв.проектов ВО'!N$4:N$226,'Перечень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738014.3</v>
      </c>
      <c r="G68" s="63">
        <f>SUMIFS('Перечень инв.проектов ВО'!O$4:O$226,'Перечень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68867.459999999992</v>
      </c>
      <c r="H68" s="63">
        <f>SUMIFS('Перечень инв.проектов ВО'!P$4:P$226,'Перечень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0</v>
      </c>
      <c r="I68" s="63">
        <f>SUMIFS('Перечень инв.проектов ВО'!Q$4:Q$226,'Перечень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0</v>
      </c>
      <c r="J68" s="63">
        <f>SUMIFS('Перечень инв.проектов ВО'!R$4:R$226,'Перечень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0</v>
      </c>
      <c r="K68" s="63">
        <f>SUMIFS('Перечень инв.проектов ВО'!S$4:S$226,'Перечень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0</v>
      </c>
      <c r="L68" s="63">
        <f>SUMIFS('Перечень инв.проектов ВО'!T$4:T$226,'Перечень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0</v>
      </c>
      <c r="M68" s="63">
        <f>SUMIFS('Перечень инв.проектов ВО'!U$4:U$226,'Перечень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0</v>
      </c>
      <c r="N68" s="63">
        <f>SUMIFS('Перечень инв.проектов ВО'!V$4:V$226,'Перечень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0</v>
      </c>
      <c r="O68" s="63">
        <f>SUMIFS('Перечень инв.проектов ВО'!W$4:W$226,'Перечень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0</v>
      </c>
      <c r="P68" s="63">
        <f>SUMIFS('Перечень инв.проектов ВО'!X$4:X$226,'Перечень инв.проектов ВО'!$C$4:$C$226,'Программа инв. проектов'!$S68,'Перечень инв.проектов ВО'!$I$4:$I$226,'Программа инв. проектов'!$C68,'Перечень инв.проектов ВО'!$B$4:$B$226,$B$61)</f>
        <v>0</v>
      </c>
      <c r="Q68" s="62">
        <f t="shared" si="37"/>
        <v>1029881.76</v>
      </c>
      <c r="R68" s="13"/>
      <c r="S68" s="69" t="s">
        <v>164</v>
      </c>
      <c r="AC68" s="17"/>
    </row>
    <row r="69" spans="2:29" ht="25.5" x14ac:dyDescent="0.2">
      <c r="B69" s="479"/>
      <c r="C69" s="16" t="s">
        <v>166</v>
      </c>
      <c r="D69" s="63">
        <f>SUMIFS('Перечень инв.проектов ВО'!L$4:L$226,'Перечень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E69" s="63">
        <f>SUMIFS('Перечень инв.проектов ВО'!M$4:M$226,'Перечень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F69" s="63">
        <f>SUMIFS('Перечень инв.проектов ВО'!N$4:N$226,'Перечень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G69" s="63">
        <f>SUMIFS('Перечень инв.проектов ВО'!O$4:O$226,'Перечень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H69" s="63">
        <f>SUMIFS('Перечень инв.проектов ВО'!P$4:P$226,'Перечень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I69" s="63">
        <f>SUMIFS('Перечень инв.проектов ВО'!Q$4:Q$226,'Перечень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J69" s="63">
        <f>SUMIFS('Перечень инв.проектов ВО'!R$4:R$226,'Перечень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K69" s="63">
        <f>SUMIFS('Перечень инв.проектов ВО'!S$4:S$226,'Перечень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L69" s="63">
        <f>SUMIFS('Перечень инв.проектов ВО'!T$4:T$226,'Перечень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M69" s="63">
        <f>SUMIFS('Перечень инв.проектов ВО'!U$4:U$226,'Перечень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N69" s="63">
        <f>SUMIFS('Перечень инв.проектов ВО'!V$4:V$226,'Перечень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O69" s="63">
        <f>SUMIFS('Перечень инв.проектов ВО'!W$4:W$226,'Перечень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P69" s="63">
        <f>SUMIFS('Перечень инв.проектов ВО'!X$4:X$226,'Перечень инв.проектов ВО'!$C$4:$C$226,'Программа инв. проектов'!$S69,'Перечень инв.проектов ВО'!$I$4:$I$226,'Программа инв. проектов'!$C69,'Перечень инв.проектов ВО'!$B$4:$B$226,$B$61)</f>
        <v>0</v>
      </c>
      <c r="Q69" s="62">
        <f t="shared" si="37"/>
        <v>0</v>
      </c>
      <c r="R69" s="13"/>
      <c r="S69" s="69" t="s">
        <v>164</v>
      </c>
      <c r="AC69" s="17"/>
    </row>
    <row r="70" spans="2:29" x14ac:dyDescent="0.2">
      <c r="B70" s="479"/>
      <c r="C70" s="16" t="s">
        <v>155</v>
      </c>
      <c r="D70" s="63">
        <f>SUMIFS('Перечень инв.проектов ВО'!L$4:L$226,'Перечень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E70" s="63">
        <f>SUMIFS('Перечень инв.проектов ВО'!M$4:M$226,'Перечень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F70" s="63">
        <f>SUMIFS('Перечень инв.проектов ВО'!N$4:N$226,'Перечень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G70" s="63">
        <f>SUMIFS('Перечень инв.проектов ВО'!O$4:O$226,'Перечень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H70" s="63">
        <f>SUMIFS('Перечень инв.проектов ВО'!P$4:P$226,'Перечень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I70" s="63">
        <f>SUMIFS('Перечень инв.проектов ВО'!Q$4:Q$226,'Перечень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J70" s="63">
        <f>SUMIFS('Перечень инв.проектов ВО'!R$4:R$226,'Перечень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K70" s="63">
        <f>SUMIFS('Перечень инв.проектов ВО'!S$4:S$226,'Перечень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L70" s="63">
        <f>SUMIFS('Перечень инв.проектов ВО'!T$4:T$226,'Перечень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M70" s="63">
        <f>SUMIFS('Перечень инв.проектов ВО'!U$4:U$226,'Перечень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N70" s="63">
        <f>SUMIFS('Перечень инв.проектов ВО'!V$4:V$226,'Перечень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O70" s="63">
        <f>SUMIFS('Перечень инв.проектов ВО'!W$4:W$226,'Перечень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P70" s="63">
        <f>SUMIFS('Перечень инв.проектов ВО'!X$4:X$226,'Перечень инв.проектов ВО'!$C$4:$C$226,'Программа инв. проектов'!$S70,'Перечень инв.проектов ВО'!$I$4:$I$226,'Программа инв. проектов'!$C70,'Перечень инв.проектов ВО'!$B$4:$B$226,$B$61)</f>
        <v>0</v>
      </c>
      <c r="Q70" s="62">
        <f t="shared" si="37"/>
        <v>0</v>
      </c>
      <c r="R70" s="13"/>
      <c r="S70" s="69" t="s">
        <v>164</v>
      </c>
      <c r="AC70" s="17"/>
    </row>
    <row r="71" spans="2:29" x14ac:dyDescent="0.2">
      <c r="B71" s="479"/>
      <c r="C71" s="16" t="s">
        <v>310</v>
      </c>
      <c r="D71" s="63">
        <f>SUMIFS('Перечень инв.проектов ВО'!L$4:L$226,'Перечень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0</v>
      </c>
      <c r="E71" s="63">
        <f>SUMIFS('Перечень инв.проектов ВО'!M$4:M$226,'Перечень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19846.11</v>
      </c>
      <c r="F71" s="63">
        <f>SUMIFS('Перечень инв.проектов ВО'!N$4:N$226,'Перечень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13264.199999999999</v>
      </c>
      <c r="G71" s="63">
        <f>SUMIFS('Перечень инв.проектов ВО'!O$4:O$226,'Перечень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11982.77</v>
      </c>
      <c r="H71" s="63">
        <f>SUMIFS('Перечень инв.проектов ВО'!P$4:P$226,'Перечень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22635.1</v>
      </c>
      <c r="I71" s="63">
        <f>SUMIFS('Перечень инв.проектов ВО'!Q$4:Q$226,'Перечень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6485.19</v>
      </c>
      <c r="J71" s="63">
        <f>SUMIFS('Перечень инв.проектов ВО'!R$4:R$226,'Перечень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11839.82</v>
      </c>
      <c r="K71" s="63">
        <f>SUMIFS('Перечень инв.проектов ВО'!S$4:S$226,'Перечень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12313.41</v>
      </c>
      <c r="L71" s="63">
        <f>SUMIFS('Перечень инв.проектов ВО'!T$4:T$226,'Перечень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15833.2</v>
      </c>
      <c r="M71" s="63">
        <f>SUMIFS('Перечень инв.проектов ВО'!U$4:U$226,'Перечень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16466.53</v>
      </c>
      <c r="N71" s="63">
        <f>SUMIFS('Перечень инв.проектов ВО'!V$4:V$226,'Перечень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17125.18</v>
      </c>
      <c r="O71" s="63">
        <f>SUMIFS('Перечень инв.проектов ВО'!W$4:W$226,'Перечень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17810.189999999999</v>
      </c>
      <c r="P71" s="63">
        <f>SUMIFS('Перечень инв.проектов ВО'!X$4:X$226,'Перечень инв.проектов ВО'!$C$4:$C$226,'Программа инв. проектов'!$S71,'Перечень инв.проектов ВО'!$I$4:$I$226,'Программа инв. проектов'!$C71,'Перечень инв.проектов ВО'!$B$4:$B$226,$B$61)</f>
        <v>18522.589999999997</v>
      </c>
      <c r="Q71" s="62">
        <f t="shared" si="37"/>
        <v>184124.29</v>
      </c>
      <c r="R71" s="13"/>
      <c r="S71" s="69" t="s">
        <v>164</v>
      </c>
      <c r="AC71" s="17"/>
    </row>
    <row r="72" spans="2:29" ht="13.15" customHeight="1" x14ac:dyDescent="0.2">
      <c r="B72" s="479" t="s">
        <v>167</v>
      </c>
      <c r="C72" s="73" t="s">
        <v>216</v>
      </c>
      <c r="D72" s="77">
        <f t="shared" ref="D72:G72" si="40">SUM(D73:D76)</f>
        <v>0</v>
      </c>
      <c r="E72" s="77">
        <f t="shared" si="40"/>
        <v>0</v>
      </c>
      <c r="F72" s="77">
        <f t="shared" si="40"/>
        <v>6002.983153953629</v>
      </c>
      <c r="G72" s="77">
        <f t="shared" si="40"/>
        <v>6243.1024801117737</v>
      </c>
      <c r="H72" s="77">
        <f t="shared" ref="H72:P72" si="41">SUM(H73:H76)</f>
        <v>6492.8265793162445</v>
      </c>
      <c r="I72" s="77">
        <f t="shared" si="41"/>
        <v>110702.72465572851</v>
      </c>
      <c r="J72" s="77">
        <f t="shared" si="41"/>
        <v>115130.83084195766</v>
      </c>
      <c r="K72" s="77">
        <f t="shared" si="41"/>
        <v>119736.06887563597</v>
      </c>
      <c r="L72" s="77">
        <f t="shared" si="41"/>
        <v>124525.50883066139</v>
      </c>
      <c r="M72" s="77">
        <f t="shared" si="41"/>
        <v>129506.53358388785</v>
      </c>
      <c r="N72" s="77">
        <f t="shared" si="41"/>
        <v>204933.86307761696</v>
      </c>
      <c r="O72" s="77">
        <f t="shared" si="41"/>
        <v>204587.09396793225</v>
      </c>
      <c r="P72" s="77">
        <f t="shared" si="41"/>
        <v>136791.35345200548</v>
      </c>
      <c r="Q72" s="77">
        <f t="shared" si="37"/>
        <v>1164652.8894988077</v>
      </c>
      <c r="R72" s="13"/>
      <c r="S72" s="69"/>
      <c r="AC72" s="17"/>
    </row>
    <row r="73" spans="2:29" x14ac:dyDescent="0.2">
      <c r="B73" s="479"/>
      <c r="C73" s="10" t="s">
        <v>163</v>
      </c>
      <c r="D73" s="63">
        <f>SUMIFS('Перечень инв.проектов ВО'!H$4:H$226,'Перечень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0</v>
      </c>
      <c r="E73" s="63">
        <f>SUMIFS('Перечень инв.проектов ВО'!I$4:I$226,'Перечень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0</v>
      </c>
      <c r="F73" s="63">
        <f>SUMIFS('Перечень инв.проектов ВО'!N$4:N$226,'Перечень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0</v>
      </c>
      <c r="G73" s="63">
        <f>SUMIFS('Перечень инв.проектов ВО'!O$4:O$226,'Перечень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0</v>
      </c>
      <c r="H73" s="63">
        <f>SUMIFS('Перечень инв.проектов ВО'!P$4:P$226,'Перечень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0</v>
      </c>
      <c r="I73" s="63">
        <f>SUMIFS('Перечень инв.проектов ВО'!Q$4:Q$226,'Перечень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103950.18501323962</v>
      </c>
      <c r="J73" s="63">
        <f>SUMIFS('Перечень инв.проектов ВО'!R$4:R$226,'Перечень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108108.18961376921</v>
      </c>
      <c r="K73" s="63">
        <f>SUMIFS('Перечень инв.проектов ВО'!S$4:S$226,'Перечень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112432.52199831998</v>
      </c>
      <c r="L73" s="63">
        <f>SUMIFS('Перечень инв.проектов ВО'!T$4:T$226,'Перечень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116929.82007825276</v>
      </c>
      <c r="M73" s="63">
        <f>SUMIFS('Перечень инв.проектов ВО'!U$4:U$226,'Перечень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121607.01728138288</v>
      </c>
      <c r="N73" s="63">
        <f>SUMIFS('Перечень инв.проектов ВО'!V$4:V$226,'Перечень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196718.36612301177</v>
      </c>
      <c r="O73" s="63">
        <f>SUMIFS('Перечень инв.проектов ВО'!W$4:W$226,'Перечень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204587.09396793225</v>
      </c>
      <c r="P73" s="63">
        <f>SUMIFS('Перечень инв.проектов ВО'!X$4:X$226,'Перечень инв.проектов ВО'!$C$4:$C$226,'Программа инв. проектов'!$S73,'Перечень инв.проектов ВО'!$I$4:$I$226,'Программа инв. проектов'!$C73,'Перечень инв.проектов ВО'!$B$4:$B$226,$B$61)</f>
        <v>136791.35345200548</v>
      </c>
      <c r="Q73" s="62">
        <f t="shared" si="37"/>
        <v>1101124.5475279139</v>
      </c>
      <c r="R73" s="13"/>
      <c r="S73" s="69" t="s">
        <v>167</v>
      </c>
      <c r="AC73" s="17"/>
    </row>
    <row r="74" spans="2:29" ht="25.5" x14ac:dyDescent="0.2">
      <c r="B74" s="479"/>
      <c r="C74" s="16" t="s">
        <v>166</v>
      </c>
      <c r="D74" s="63">
        <f>SUMIFS('Перечень инв.проектов ВО'!H$4:H$226,'Перечень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E74" s="63">
        <f>SUMIFS('Перечень инв.проектов ВО'!I$4:I$226,'Перечень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F74" s="63">
        <f>SUMIFS('Перечень инв.проектов ВО'!N$4:N$226,'Перечень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G74" s="63">
        <f>SUMIFS('Перечень инв.проектов ВО'!O$4:O$226,'Перечень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H74" s="63">
        <f>SUMIFS('Перечень инв.проектов ВО'!P$4:P$226,'Перечень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I74" s="63">
        <f>SUMIFS('Перечень инв.проектов ВО'!Q$4:Q$226,'Перечень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J74" s="63">
        <f>SUMIFS('Перечень инв.проектов ВО'!R$4:R$226,'Перечень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K74" s="63">
        <f>SUMIFS('Перечень инв.проектов ВО'!S$4:S$226,'Перечень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L74" s="63">
        <f>SUMIFS('Перечень инв.проектов ВО'!T$4:T$226,'Перечень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M74" s="63">
        <f>SUMIFS('Перечень инв.проектов ВО'!U$4:U$226,'Перечень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N74" s="63">
        <f>SUMIFS('Перечень инв.проектов ВО'!V$4:V$226,'Перечень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O74" s="63">
        <f>SUMIFS('Перечень инв.проектов ВО'!W$4:W$226,'Перечень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P74" s="63">
        <f>SUMIFS('Перечень инв.проектов ВО'!X$4:X$226,'Перечень инв.проектов ВО'!$C$4:$C$226,'Программа инв. проектов'!$S74,'Перечень инв.проектов ВО'!$I$4:$I$226,'Программа инв. проектов'!$C74,'Перечень инв.проектов ВО'!$B$4:$B$226,$B$61)</f>
        <v>0</v>
      </c>
      <c r="Q74" s="62">
        <f t="shared" si="37"/>
        <v>0</v>
      </c>
      <c r="R74" s="13"/>
      <c r="S74" s="69" t="s">
        <v>167</v>
      </c>
      <c r="AC74" s="17"/>
    </row>
    <row r="75" spans="2:29" x14ac:dyDescent="0.2">
      <c r="B75" s="479"/>
      <c r="C75" s="16" t="s">
        <v>155</v>
      </c>
      <c r="D75" s="63">
        <f>SUMIFS('Перечень инв.проектов ВО'!L$4:L$226,'Перечень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E75" s="63">
        <f>SUMIFS('Перечень инв.проектов ВО'!I$4:I$226,'Перечень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F75" s="63">
        <f>SUMIFS('Перечень инв.проектов ВО'!N$4:N$226,'Перечень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G75" s="63">
        <f>SUMIFS('Перечень инв.проектов ВО'!O$4:O$226,'Перечень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H75" s="63">
        <f>SUMIFS('Перечень инв.проектов ВО'!P$4:P$226,'Перечень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I75" s="63">
        <f>SUMIFS('Перечень инв.проектов ВО'!Q$4:Q$226,'Перечень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J75" s="63">
        <f>SUMIFS('Перечень инв.проектов ВО'!R$4:R$226,'Перечень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K75" s="63">
        <f>SUMIFS('Перечень инв.проектов ВО'!S$4:S$226,'Перечень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L75" s="63">
        <f>SUMIFS('Перечень инв.проектов ВО'!T$4:T$226,'Перечень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M75" s="63">
        <f>SUMIFS('Перечень инв.проектов ВО'!U$4:U$226,'Перечень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N75" s="63">
        <f>SUMIFS('Перечень инв.проектов ВО'!V$4:V$226,'Перечень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O75" s="63">
        <f>SUMIFS('Перечень инв.проектов ВО'!W$4:W$226,'Перечень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P75" s="63">
        <f>SUMIFS('Перечень инв.проектов ВО'!X$4:X$226,'Перечень инв.проектов ВО'!$C$4:$C$226,'Программа инв. проектов'!$S75,'Перечень инв.проектов ВО'!$I$4:$I$226,'Программа инв. проектов'!$C75,'Перечень инв.проектов ВО'!$B$4:$B$226,$B$61)</f>
        <v>0</v>
      </c>
      <c r="Q75" s="62">
        <f t="shared" si="37"/>
        <v>0</v>
      </c>
      <c r="R75" s="13"/>
      <c r="S75" s="69" t="s">
        <v>167</v>
      </c>
      <c r="AC75" s="17"/>
    </row>
    <row r="76" spans="2:29" x14ac:dyDescent="0.2">
      <c r="B76" s="479"/>
      <c r="C76" s="16" t="s">
        <v>310</v>
      </c>
      <c r="D76" s="63">
        <f>SUMIFS('Перечень инв.проектов ВО'!H$4:H$226,'Перечень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0</v>
      </c>
      <c r="E76" s="63">
        <f>SUMIFS('Перечень инв.проектов ВО'!I$4:I$226,'Перечень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0</v>
      </c>
      <c r="F76" s="63">
        <f>SUMIFS('Перечень инв.проектов ВО'!N$4:N$226,'Перечень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6002.983153953629</v>
      </c>
      <c r="G76" s="63">
        <f>SUMIFS('Перечень инв.проектов ВО'!O$4:O$226,'Перечень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6243.1024801117737</v>
      </c>
      <c r="H76" s="63">
        <f>SUMIFS('Перечень инв.проектов ВО'!P$4:P$226,'Перечень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6492.8265793162445</v>
      </c>
      <c r="I76" s="63">
        <f>SUMIFS('Перечень инв.проектов ВО'!Q$4:Q$226,'Перечень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6752.5396424888941</v>
      </c>
      <c r="J76" s="63">
        <f>SUMIFS('Перечень инв.проектов ВО'!R$4:R$226,'Перечень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7022.6412281884504</v>
      </c>
      <c r="K76" s="63">
        <f>SUMIFS('Перечень инв.проектов ВО'!S$4:S$226,'Перечень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7303.5468773159891</v>
      </c>
      <c r="L76" s="63">
        <f>SUMIFS('Перечень инв.проектов ВО'!T$4:T$226,'Перечень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7595.6887524086287</v>
      </c>
      <c r="M76" s="63">
        <f>SUMIFS('Перечень инв.проектов ВО'!U$4:U$226,'Перечень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7899.5163025049742</v>
      </c>
      <c r="N76" s="63">
        <f>SUMIFS('Перечень инв.проектов ВО'!V$4:V$226,'Перечень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8215.4969546051725</v>
      </c>
      <c r="O76" s="63">
        <f>SUMIFS('Перечень инв.проектов ВО'!W$4:W$226,'Перечень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0</v>
      </c>
      <c r="P76" s="63">
        <f>SUMIFS('Перечень инв.проектов ВО'!X$4:X$226,'Перечень инв.проектов ВО'!$C$4:$C$226,'Программа инв. проектов'!$S76,'Перечень инв.проектов ВО'!$I$4:$I$226,'Программа инв. проектов'!$C76,'Перечень инв.проектов ВО'!$B$4:$B$226,$B$61)</f>
        <v>0</v>
      </c>
      <c r="Q76" s="62">
        <f t="shared" si="37"/>
        <v>63528.341970893758</v>
      </c>
      <c r="R76" s="13"/>
      <c r="S76" s="69" t="s">
        <v>167</v>
      </c>
      <c r="AC76" s="17"/>
    </row>
    <row r="77" spans="2:29" ht="13.15" customHeight="1" x14ac:dyDescent="0.2">
      <c r="B77" s="479" t="s">
        <v>168</v>
      </c>
      <c r="C77" s="73" t="s">
        <v>216</v>
      </c>
      <c r="D77" s="77">
        <f t="shared" ref="D77:G77" si="42">SUM(D78:D81)</f>
        <v>0</v>
      </c>
      <c r="E77" s="77">
        <f t="shared" si="42"/>
        <v>0</v>
      </c>
      <c r="F77" s="77">
        <f t="shared" si="42"/>
        <v>0</v>
      </c>
      <c r="G77" s="77">
        <f t="shared" si="42"/>
        <v>0</v>
      </c>
      <c r="H77" s="77">
        <f t="shared" ref="H77:P77" si="43">SUM(H78:H81)</f>
        <v>0</v>
      </c>
      <c r="I77" s="77">
        <f t="shared" si="43"/>
        <v>0</v>
      </c>
      <c r="J77" s="77">
        <f t="shared" si="43"/>
        <v>0</v>
      </c>
      <c r="K77" s="77">
        <f t="shared" si="43"/>
        <v>0</v>
      </c>
      <c r="L77" s="77">
        <f t="shared" si="43"/>
        <v>0</v>
      </c>
      <c r="M77" s="77">
        <f t="shared" si="43"/>
        <v>0</v>
      </c>
      <c r="N77" s="77">
        <f t="shared" si="43"/>
        <v>0</v>
      </c>
      <c r="O77" s="77">
        <f t="shared" si="43"/>
        <v>0</v>
      </c>
      <c r="P77" s="77">
        <f t="shared" si="43"/>
        <v>0</v>
      </c>
      <c r="Q77" s="62">
        <f t="shared" si="37"/>
        <v>0</v>
      </c>
      <c r="R77" s="13"/>
      <c r="S77" s="69"/>
      <c r="AC77" s="17"/>
    </row>
    <row r="78" spans="2:29" x14ac:dyDescent="0.2">
      <c r="B78" s="479"/>
      <c r="C78" s="10" t="s">
        <v>163</v>
      </c>
      <c r="D78" s="63">
        <f>SUMIFS('Перечень инв.проектов ВО'!L$4:L$226,'Перечень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E78" s="63">
        <f>SUMIFS('Перечень инв.проектов ВО'!M$4:M$226,'Перечень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F78" s="63">
        <f>SUMIFS('Перечень инв.проектов ВО'!N$4:N$226,'Перечень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G78" s="63">
        <f>SUMIFS('Перечень инв.проектов ВО'!O$4:O$226,'Перечень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H78" s="63">
        <f>SUMIFS('Перечень инв.проектов ВО'!P$4:P$226,'Перечень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I78" s="63">
        <f>SUMIFS('Перечень инв.проектов ВО'!Q$4:Q$226,'Перечень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J78" s="63">
        <f>SUMIFS('Перечень инв.проектов ВО'!R$4:R$226,'Перечень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K78" s="63">
        <f>SUMIFS('Перечень инв.проектов ВО'!S$4:S$226,'Перечень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L78" s="63">
        <f>SUMIFS('Перечень инв.проектов ВО'!T$4:T$226,'Перечень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M78" s="63">
        <f>SUMIFS('Перечень инв.проектов ВО'!U$4:U$226,'Перечень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N78" s="63">
        <f>SUMIFS('Перечень инв.проектов ВО'!V$4:V$226,'Перечень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O78" s="63">
        <f>SUMIFS('Перечень инв.проектов ВО'!W$4:W$226,'Перечень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P78" s="63">
        <f>SUMIFS('Перечень инв.проектов ВО'!X$4:X$226,'Перечень инв.проектов ВО'!$C$4:$C$226,'Программа инв. проектов'!$S78,'Перечень инв.проектов ВО'!$I$4:$I$226,'Программа инв. проектов'!$C78,'Перечень инв.проектов ВО'!$B$4:$B$226,$B$61)</f>
        <v>0</v>
      </c>
      <c r="Q78" s="62">
        <f t="shared" si="37"/>
        <v>0</v>
      </c>
      <c r="R78" s="13"/>
      <c r="S78" s="69" t="s">
        <v>168</v>
      </c>
      <c r="AC78" s="17"/>
    </row>
    <row r="79" spans="2:29" ht="25.5" x14ac:dyDescent="0.2">
      <c r="B79" s="479"/>
      <c r="C79" s="16" t="s">
        <v>166</v>
      </c>
      <c r="D79" s="63">
        <f>SUMIFS('Перечень инв.проектов ВО'!L$4:L$226,'Перечень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E79" s="63">
        <f>SUMIFS('Перечень инв.проектов ВО'!M$4:M$226,'Перечень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F79" s="63">
        <f>SUMIFS('Перечень инв.проектов ВО'!N$4:N$226,'Перечень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G79" s="63">
        <f>SUMIFS('Перечень инв.проектов ВО'!O$4:O$226,'Перечень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H79" s="63">
        <f>SUMIFS('Перечень инв.проектов ВО'!P$4:P$226,'Перечень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I79" s="63">
        <f>SUMIFS('Перечень инв.проектов ВО'!Q$4:Q$226,'Перечень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J79" s="63">
        <f>SUMIFS('Перечень инв.проектов ВО'!R$4:R$226,'Перечень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K79" s="63">
        <f>SUMIFS('Перечень инв.проектов ВО'!S$4:S$226,'Перечень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L79" s="63">
        <f>SUMIFS('Перечень инв.проектов ВО'!T$4:T$226,'Перечень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M79" s="63">
        <f>SUMIFS('Перечень инв.проектов ВО'!U$4:U$226,'Перечень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N79" s="63">
        <f>SUMIFS('Перечень инв.проектов ВО'!V$4:V$226,'Перечень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O79" s="63">
        <f>SUMIFS('Перечень инв.проектов ВО'!W$4:W$226,'Перечень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P79" s="63">
        <f>SUMIFS('Перечень инв.проектов ВО'!X$4:X$226,'Перечень инв.проектов ВО'!$C$4:$C$226,'Программа инв. проектов'!$S79,'Перечень инв.проектов ВО'!$I$4:$I$226,'Программа инв. проектов'!$C79,'Перечень инв.проектов ВО'!$B$4:$B$226,$B$61)</f>
        <v>0</v>
      </c>
      <c r="Q79" s="62">
        <f t="shared" si="37"/>
        <v>0</v>
      </c>
      <c r="R79" s="13"/>
      <c r="S79" s="69" t="s">
        <v>168</v>
      </c>
      <c r="AC79" s="17"/>
    </row>
    <row r="80" spans="2:29" x14ac:dyDescent="0.2">
      <c r="B80" s="479"/>
      <c r="C80" s="16" t="s">
        <v>155</v>
      </c>
      <c r="D80" s="63">
        <f>SUMIFS('Перечень инв.проектов ВО'!L$4:L$226,'Перечень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E80" s="63">
        <f>SUMIFS('Перечень инв.проектов ВО'!M$4:M$226,'Перечень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F80" s="63">
        <f>SUMIFS('Перечень инв.проектов ВО'!N$4:N$226,'Перечень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G80" s="63">
        <f>SUMIFS('Перечень инв.проектов ВО'!O$4:O$226,'Перечень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H80" s="63">
        <f>SUMIFS('Перечень инв.проектов ВО'!P$4:P$226,'Перечень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I80" s="63">
        <f>SUMIFS('Перечень инв.проектов ВО'!Q$4:Q$226,'Перечень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J80" s="63">
        <f>SUMIFS('Перечень инв.проектов ВО'!R$4:R$226,'Перечень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K80" s="63">
        <f>SUMIFS('Перечень инв.проектов ВО'!S$4:S$226,'Перечень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L80" s="63">
        <f>SUMIFS('Перечень инв.проектов ВО'!T$4:T$226,'Перечень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M80" s="63">
        <f>SUMIFS('Перечень инв.проектов ВО'!U$4:U$226,'Перечень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N80" s="63">
        <f>SUMIFS('Перечень инв.проектов ВО'!V$4:V$226,'Перечень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O80" s="63">
        <f>SUMIFS('Перечень инв.проектов ВО'!W$4:W$226,'Перечень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P80" s="63">
        <f>SUMIFS('Перечень инв.проектов ВО'!X$4:X$226,'Перечень инв.проектов ВО'!$C$4:$C$226,'Программа инв. проектов'!$S80,'Перечень инв.проектов ВО'!$I$4:$I$226,'Программа инв. проектов'!$C80,'Перечень инв.проектов ВО'!$B$4:$B$226,$B$61)</f>
        <v>0</v>
      </c>
      <c r="Q80" s="62">
        <f t="shared" si="37"/>
        <v>0</v>
      </c>
      <c r="R80" s="13"/>
      <c r="S80" s="69" t="s">
        <v>168</v>
      </c>
      <c r="AC80" s="17"/>
    </row>
    <row r="81" spans="2:30" x14ac:dyDescent="0.2">
      <c r="B81" s="479"/>
      <c r="C81" s="16" t="s">
        <v>310</v>
      </c>
      <c r="D81" s="63">
        <f>SUMIFS('Перечень инв.проектов ВО'!L$4:L$226,'Перечень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E81" s="63">
        <f>SUMIFS('Перечень инв.проектов ВО'!M$4:M$226,'Перечень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F81" s="63">
        <f>SUMIFS('Перечень инв.проектов ВО'!N$4:N$226,'Перечень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G81" s="63">
        <f>SUMIFS('Перечень инв.проектов ВО'!O$4:O$226,'Перечень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H81" s="63">
        <f>SUMIFS('Перечень инв.проектов ВО'!P$4:P$226,'Перечень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I81" s="63">
        <f>SUMIFS('Перечень инв.проектов ВО'!Q$4:Q$226,'Перечень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J81" s="63">
        <f>SUMIFS('Перечень инв.проектов ВО'!R$4:R$226,'Перечень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K81" s="63">
        <f>SUMIFS('Перечень инв.проектов ВО'!S$4:S$226,'Перечень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L81" s="63">
        <f>SUMIFS('Перечень инв.проектов ВО'!T$4:T$226,'Перечень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M81" s="63">
        <f>SUMIFS('Перечень инв.проектов ВО'!U$4:U$226,'Перечень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N81" s="63">
        <f>SUMIFS('Перечень инв.проектов ВО'!V$4:V$226,'Перечень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O81" s="63">
        <f>SUMIFS('Перечень инв.проектов ВО'!W$4:W$226,'Перечень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P81" s="63">
        <f>SUMIFS('Перечень инв.проектов ВО'!X$4:X$226,'Перечень инв.проектов ВО'!$C$4:$C$226,'Программа инв. проектов'!$S81,'Перечень инв.проектов ВО'!$I$4:$I$226,'Программа инв. проектов'!$C81,'Перечень инв.проектов ВО'!$B$4:$B$226,$B$61)</f>
        <v>0</v>
      </c>
      <c r="Q81" s="62">
        <f t="shared" si="37"/>
        <v>0</v>
      </c>
      <c r="R81" s="13"/>
      <c r="S81" s="69" t="s">
        <v>168</v>
      </c>
      <c r="AC81" s="17"/>
    </row>
    <row r="82" spans="2:30" x14ac:dyDescent="0.2">
      <c r="B82" s="471" t="s">
        <v>218</v>
      </c>
      <c r="C82" s="73" t="s">
        <v>216</v>
      </c>
      <c r="D82" s="77">
        <f t="shared" ref="D82:Q82" si="44">SUM(D83:D85)</f>
        <v>50000</v>
      </c>
      <c r="E82" s="77">
        <f t="shared" si="44"/>
        <v>241484.43601065717</v>
      </c>
      <c r="F82" s="77">
        <f t="shared" si="44"/>
        <v>819973.14006745804</v>
      </c>
      <c r="G82" s="77">
        <f t="shared" si="44"/>
        <v>152292.65567015641</v>
      </c>
      <c r="H82" s="77">
        <f t="shared" ref="H82:P82" si="45">SUM(H83:H85)</f>
        <v>96935.222696962679</v>
      </c>
      <c r="I82" s="77">
        <f t="shared" si="45"/>
        <v>187707.50261808082</v>
      </c>
      <c r="J82" s="77">
        <f t="shared" si="45"/>
        <v>200311.02232280403</v>
      </c>
      <c r="K82" s="77">
        <f t="shared" si="45"/>
        <v>208323.46521571622</v>
      </c>
      <c r="L82" s="77">
        <f t="shared" si="45"/>
        <v>219683.65462434484</v>
      </c>
      <c r="M82" s="77">
        <f t="shared" si="45"/>
        <v>228471.00720931866</v>
      </c>
      <c r="N82" s="77">
        <f t="shared" si="45"/>
        <v>307856.90444806498</v>
      </c>
      <c r="O82" s="77">
        <f t="shared" si="45"/>
        <v>311627.05979319819</v>
      </c>
      <c r="P82" s="77">
        <f t="shared" si="45"/>
        <v>248112.91031028205</v>
      </c>
      <c r="Q82" s="77">
        <f t="shared" si="44"/>
        <v>3272778.9809870441</v>
      </c>
      <c r="R82" s="93">
        <f>R60</f>
        <v>3272778.9809870441</v>
      </c>
      <c r="S82" s="69"/>
      <c r="AC82" s="17"/>
    </row>
    <row r="83" spans="2:30" ht="25.5" x14ac:dyDescent="0.2">
      <c r="B83" s="471"/>
      <c r="C83" s="74" t="s">
        <v>222</v>
      </c>
      <c r="D83" s="63">
        <f>SUMIFS('Перечень инв.проектов ВО'!L$4:L$226,'Перечень инв.проектов ВО'!$D$4:$D$226,'Программа инв. проектов'!$S83,'Перечень инв.проектов ВО'!$B$4:$B$226,$B$61)</f>
        <v>0</v>
      </c>
      <c r="E83" s="63">
        <f>SUMIFS('Перечень инв.проектов ВО'!M$4:M$226,'Перечень инв.проектов ВО'!$D$4:$D$226,'Программа инв. проектов'!$S83,'Перечень инв.проектов ВО'!$B$4:$B$226,$B$61)</f>
        <v>1704.7</v>
      </c>
      <c r="F83" s="63">
        <f>SUMIFS('Перечень инв.проектов ВО'!N$4:N$226,'Перечень инв.проектов ВО'!$D$4:$D$226,'Программа инв. проектов'!$S83,'Перечень инв.проектов ВО'!$B$4:$B$226,$B$61)</f>
        <v>1774.83</v>
      </c>
      <c r="G83" s="63">
        <f>SUMIFS('Перечень инв.проектов ВО'!O$4:O$226,'Перечень инв.проектов ВО'!$D$4:$D$226,'Программа инв. проектов'!$S83,'Перечень инв.проектов ВО'!$B$4:$B$226,$B$61)</f>
        <v>1845.82</v>
      </c>
      <c r="H83" s="63">
        <f>SUMIFS('Перечень инв.проектов ВО'!P$4:P$226,'Перечень инв.проектов ВО'!$D$4:$D$226,'Программа инв. проектов'!$S83,'Перечень инв.проектов ВО'!$B$4:$B$226,$B$61)</f>
        <v>0</v>
      </c>
      <c r="I83" s="63">
        <f>SUMIFS('Перечень инв.проектов ВО'!Q$4:Q$226,'Перечень инв.проектов ВО'!$D$4:$D$226,'Программа инв. проектов'!$S83,'Перечень инв.проектов ВО'!$B$4:$B$226,$B$61)</f>
        <v>0</v>
      </c>
      <c r="J83" s="63">
        <f>SUMIFS('Перечень инв.проектов ВО'!R$4:R$226,'Перечень инв.проектов ВО'!$D$4:$D$226,'Программа инв. проектов'!$S83,'Перечень инв.проектов ВО'!$B$4:$B$226,$B$61)</f>
        <v>0</v>
      </c>
      <c r="K83" s="63">
        <f>SUMIFS('Перечень инв.проектов ВО'!S$4:S$226,'Перечень инв.проектов ВО'!$D$4:$D$226,'Программа инв. проектов'!$S83,'Перечень инв.проектов ВО'!$B$4:$B$226,$B$61)</f>
        <v>0</v>
      </c>
      <c r="L83" s="63">
        <f>SUMIFS('Перечень инв.проектов ВО'!T$4:T$226,'Перечень инв.проектов ВО'!$D$4:$D$226,'Программа инв. проектов'!$S83,'Перечень инв.проектов ВО'!$B$4:$B$226,$B$61)</f>
        <v>0</v>
      </c>
      <c r="M83" s="63">
        <f>SUMIFS('Перечень инв.проектов ВО'!U$4:U$226,'Перечень инв.проектов ВО'!$D$4:$D$226,'Программа инв. проектов'!$S83,'Перечень инв.проектов ВО'!$B$4:$B$226,$B$61)</f>
        <v>0</v>
      </c>
      <c r="N83" s="63">
        <f>SUMIFS('Перечень инв.проектов ВО'!V$4:V$226,'Перечень инв.проектов ВО'!$D$4:$D$226,'Программа инв. проектов'!$S83,'Перечень инв.проектов ВО'!$B$4:$B$226,$B$61)</f>
        <v>0</v>
      </c>
      <c r="O83" s="63">
        <f>SUMIFS('Перечень инв.проектов ВО'!W$4:W$226,'Перечень инв.проектов ВО'!$D$4:$D$226,'Программа инв. проектов'!$S83,'Перечень инв.проектов ВО'!$B$4:$B$226,$B$61)</f>
        <v>0</v>
      </c>
      <c r="P83" s="63">
        <f>SUMIFS('Перечень инв.проектов ВО'!X$4:X$226,'Перечень инв.проектов ВО'!$D$4:$D$226,'Программа инв. проектов'!$S83,'Перечень инв.проектов ВО'!$B$4:$B$226,$B$61)</f>
        <v>0</v>
      </c>
      <c r="Q83" s="62">
        <f>SUM(D83:P83)</f>
        <v>5325.3499999999995</v>
      </c>
      <c r="R83" s="13"/>
      <c r="S83" s="69" t="s">
        <v>154</v>
      </c>
      <c r="AC83" s="17"/>
    </row>
    <row r="84" spans="2:30" ht="25.5" x14ac:dyDescent="0.2">
      <c r="B84" s="471"/>
      <c r="C84" s="74" t="s">
        <v>223</v>
      </c>
      <c r="D84" s="63">
        <f>SUMIFS('Перечень инв.проектов ВО'!L$4:L$226,'Перечень инв.проектов ВО'!$D$4:$D$226,'Программа инв. проектов'!$S84,'Перечень инв.проектов ВО'!$B$4:$B$226,$B$61)</f>
        <v>0</v>
      </c>
      <c r="E84" s="63">
        <f>SUMIFS('Перечень инв.проектов ВО'!M$4:M$226,'Перечень инв.проектов ВО'!$D$4:$D$226,'Программа инв. проектов'!$S84,'Перечень инв.проектов ВО'!$B$4:$B$226,$B$61)</f>
        <v>0</v>
      </c>
      <c r="F84" s="63">
        <f>SUMIFS('Перечень инв.проектов ВО'!N$4:N$226,'Перечень инв.проектов ВО'!$D$4:$D$226,'Программа инв. проектов'!$S84,'Перечень инв.проектов ВО'!$B$4:$B$226,$B$61)</f>
        <v>6002.983153953629</v>
      </c>
      <c r="G84" s="63">
        <f>SUMIFS('Перечень инв.проектов ВО'!O$4:O$226,'Перечень инв.проектов ВО'!$D$4:$D$226,'Программа инв. проектов'!$S84,'Перечень инв.проектов ВО'!$B$4:$B$226,$B$61)</f>
        <v>6243.1024801117737</v>
      </c>
      <c r="H84" s="63">
        <f>SUMIFS('Перечень инв.проектов ВО'!P$4:P$226,'Перечень инв.проектов ВО'!$D$4:$D$226,'Программа инв. проектов'!$S84,'Перечень инв.проектов ВО'!$B$4:$B$226,$B$61)</f>
        <v>12728.586579316245</v>
      </c>
      <c r="I84" s="63">
        <f>SUMIFS('Перечень инв.проектов ВО'!Q$4:Q$226,'Перечень инв.проектов ВО'!$D$4:$D$226,'Программа инв. проектов'!$S84,'Перечень инв.проектов ВО'!$B$4:$B$226,$B$61)</f>
        <v>13237.729642488894</v>
      </c>
      <c r="J84" s="63">
        <f>SUMIFS('Перечень инв.проектов ВО'!R$4:R$226,'Перечень инв.проектов ВО'!$D$4:$D$226,'Программа инв. проектов'!$S84,'Перечень инв.проектов ВО'!$B$4:$B$226,$B$61)</f>
        <v>13767.24122818845</v>
      </c>
      <c r="K84" s="63">
        <f>SUMIFS('Перечень инв.проектов ВО'!S$4:S$226,'Перечень инв.проектов ВО'!$D$4:$D$226,'Программа инв. проектов'!$S84,'Перечень инв.проектов ВО'!$B$4:$B$226,$B$61)</f>
        <v>14317.926877315989</v>
      </c>
      <c r="L84" s="63">
        <f>SUMIFS('Перечень инв.проектов ВО'!T$4:T$226,'Перечень инв.проектов ВО'!$D$4:$D$226,'Программа инв. проектов'!$S84,'Перечень инв.проектов ВО'!$B$4:$B$226,$B$61)</f>
        <v>17917.888752408628</v>
      </c>
      <c r="M84" s="63">
        <f>SUMIFS('Перечень инв.проектов ВО'!U$4:U$226,'Перечень инв.проектов ВО'!$D$4:$D$226,'Программа инв. проектов'!$S84,'Перечень инв.проектов ВО'!$B$4:$B$226,$B$61)</f>
        <v>18634.606302504973</v>
      </c>
      <c r="N84" s="63">
        <f>SUMIFS('Перечень инв.проектов ВО'!V$4:V$226,'Перечень инв.проектов ВО'!$D$4:$D$226,'Программа инв. проектов'!$S84,'Перечень инв.проектов ВО'!$B$4:$B$226,$B$61)</f>
        <v>19379.986954605174</v>
      </c>
      <c r="O84" s="63">
        <f>SUMIFS('Перечень инв.проектов ВО'!W$4:W$226,'Перечень инв.проектов ВО'!$D$4:$D$226,'Программа инв. проектов'!$S84,'Перечень инв.проектов ВО'!$B$4:$B$226,$B$61)</f>
        <v>11611.07</v>
      </c>
      <c r="P84" s="63">
        <f>SUMIFS('Перечень инв.проектов ВО'!X$4:X$226,'Перечень инв.проектов ВО'!$D$4:$D$226,'Программа инв. проектов'!$S84,'Перечень инв.проектов ВО'!$B$4:$B$226,$B$61)</f>
        <v>12075.509999999998</v>
      </c>
      <c r="Q84" s="62">
        <f>SUM(D84:P84)</f>
        <v>145916.63197089377</v>
      </c>
      <c r="R84" s="13"/>
      <c r="S84" s="69" t="s">
        <v>162</v>
      </c>
      <c r="AC84" s="17"/>
    </row>
    <row r="85" spans="2:30" ht="25.5" x14ac:dyDescent="0.2">
      <c r="B85" s="471"/>
      <c r="C85" s="74" t="s">
        <v>221</v>
      </c>
      <c r="D85" s="63">
        <f>SUMIFS('Перечень инв.проектов ВО'!L$4:L$226,'Перечень инв.проектов ВО'!$D$4:$D$226,'Программа инв. проектов'!$S85,'Перечень инв.проектов ВО'!$B$4:$B$226,$B$61)</f>
        <v>50000</v>
      </c>
      <c r="E85" s="63">
        <f>SUMIFS('Перечень инв.проектов ВО'!M$4:M$226,'Перечень инв.проектов ВО'!$D$4:$D$226,'Программа инв. проектов'!$S85,'Перечень инв.проектов ВО'!$B$4:$B$226,$B$61)</f>
        <v>239779.73601065716</v>
      </c>
      <c r="F85" s="63">
        <f>SUMIFS('Перечень инв.проектов ВО'!N$4:N$226,'Перечень инв.проектов ВО'!$D$4:$D$226,'Программа инв. проектов'!$S85,'Перечень инв.проектов ВО'!$B$4:$B$226,$B$61)</f>
        <v>812195.3269135044</v>
      </c>
      <c r="G85" s="63">
        <f>SUMIFS('Перечень инв.проектов ВО'!O$4:O$226,'Перечень инв.проектов ВО'!$D$4:$D$226,'Программа инв. проектов'!$S85,'Перечень инв.проектов ВО'!$B$4:$B$226,$B$61)</f>
        <v>144203.73319004464</v>
      </c>
      <c r="H85" s="63">
        <f>SUMIFS('Перечень инв.проектов ВО'!P$4:P$226,'Перечень инв.проектов ВО'!$D$4:$D$226,'Программа инв. проектов'!$S85,'Перечень инв.проектов ВО'!$B$4:$B$226,$B$61)</f>
        <v>84206.636117646427</v>
      </c>
      <c r="I85" s="63">
        <f>SUMIFS('Перечень инв.проектов ВО'!Q$4:Q$226,'Перечень инв.проектов ВО'!$D$4:$D$226,'Программа инв. проектов'!$S85,'Перечень инв.проектов ВО'!$B$4:$B$226,$B$61)</f>
        <v>174469.77297559191</v>
      </c>
      <c r="J85" s="63">
        <f>SUMIFS('Перечень инв.проектов ВО'!R$4:R$226,'Перечень инв.проектов ВО'!$D$4:$D$226,'Программа инв. проектов'!$S85,'Перечень инв.проектов ВО'!$B$4:$B$226,$B$61)</f>
        <v>186543.78109461558</v>
      </c>
      <c r="K85" s="63">
        <f>SUMIFS('Перечень инв.проектов ВО'!S$4:S$226,'Перечень инв.проектов ВО'!$D$4:$D$226,'Программа инв. проектов'!$S85,'Перечень инв.проектов ВО'!$B$4:$B$226,$B$61)</f>
        <v>194005.53833840022</v>
      </c>
      <c r="L85" s="63">
        <f>SUMIFS('Перечень инв.проектов ВО'!T$4:T$226,'Перечень инв.проектов ВО'!$D$4:$D$226,'Программа инв. проектов'!$S85,'Перечень инв.проектов ВО'!$B$4:$B$226,$B$61)</f>
        <v>201765.76587193622</v>
      </c>
      <c r="M85" s="63">
        <f>SUMIFS('Перечень инв.проектов ВО'!U$4:U$226,'Перечень инв.проектов ВО'!$D$4:$D$226,'Программа инв. проектов'!$S85,'Перечень инв.проектов ВО'!$B$4:$B$226,$B$61)</f>
        <v>209836.40090681368</v>
      </c>
      <c r="N85" s="63">
        <f>SUMIFS('Перечень инв.проектов ВО'!V$4:V$226,'Перечень инв.проектов ВО'!$D$4:$D$226,'Программа инв. проектов'!$S85,'Перечень инв.проектов ВО'!$B$4:$B$226,$B$61)</f>
        <v>288476.91749345983</v>
      </c>
      <c r="O85" s="63">
        <f>SUMIFS('Перечень инв.проектов ВО'!W$4:W$226,'Перечень инв.проектов ВО'!$D$4:$D$226,'Программа инв. проектов'!$S85,'Перечень инв.проектов ВО'!$B$4:$B$226,$B$61)</f>
        <v>300015.98979319818</v>
      </c>
      <c r="P85" s="63">
        <f>SUMIFS('Перечень инв.проектов ВО'!X$4:X$226,'Перечень инв.проектов ВО'!$D$4:$D$226,'Программа инв. проектов'!$S85,'Перечень инв.проектов ВО'!$B$4:$B$226,$B$61)</f>
        <v>236037.40031028204</v>
      </c>
      <c r="Q85" s="62">
        <f>SUM(D85:P85)</f>
        <v>3121536.9990161504</v>
      </c>
      <c r="R85" s="13"/>
      <c r="S85" s="69" t="s">
        <v>165</v>
      </c>
      <c r="AC85" s="17"/>
    </row>
    <row r="86" spans="2:30" ht="13.5" x14ac:dyDescent="0.2">
      <c r="B86" s="477" t="s">
        <v>203</v>
      </c>
      <c r="C86" s="477"/>
      <c r="D86" s="78">
        <f>D87</f>
        <v>127231.81000000001</v>
      </c>
      <c r="E86" s="78">
        <f t="shared" ref="E86:P86" si="46">E87</f>
        <v>97616.54</v>
      </c>
      <c r="F86" s="78">
        <f t="shared" si="46"/>
        <v>38943.015500000009</v>
      </c>
      <c r="G86" s="78">
        <f t="shared" si="46"/>
        <v>58849.250000000015</v>
      </c>
      <c r="H86" s="78">
        <f t="shared" si="46"/>
        <v>42787.846599999997</v>
      </c>
      <c r="I86" s="78">
        <f t="shared" si="46"/>
        <v>9995.9900000000016</v>
      </c>
      <c r="J86" s="78">
        <f t="shared" si="46"/>
        <v>0</v>
      </c>
      <c r="K86" s="78">
        <f t="shared" si="46"/>
        <v>0</v>
      </c>
      <c r="L86" s="78">
        <f t="shared" si="46"/>
        <v>0</v>
      </c>
      <c r="M86" s="78">
        <f t="shared" si="46"/>
        <v>0</v>
      </c>
      <c r="N86" s="78">
        <f t="shared" si="46"/>
        <v>0</v>
      </c>
      <c r="O86" s="78">
        <f t="shared" si="46"/>
        <v>0</v>
      </c>
      <c r="P86" s="78">
        <f t="shared" si="46"/>
        <v>0</v>
      </c>
      <c r="Q86" s="62">
        <f t="shared" ref="Q86:Q111" si="47">SUM(D86:P86)</f>
        <v>375424.45209999999</v>
      </c>
      <c r="R86" s="93">
        <f>'Перечень инв.проектов ЭЭ'!Z56</f>
        <v>379422.30209999997</v>
      </c>
      <c r="S86" s="69"/>
      <c r="AD86" s="17">
        <f>Q86</f>
        <v>375424.45209999999</v>
      </c>
    </row>
    <row r="87" spans="2:30" ht="13.5" x14ac:dyDescent="0.2">
      <c r="B87" s="478" t="s">
        <v>770</v>
      </c>
      <c r="C87" s="478"/>
      <c r="D87" s="52">
        <f>SUM(D88,D93,D98,D103)</f>
        <v>127231.81000000001</v>
      </c>
      <c r="E87" s="52">
        <f>SUM(E88,E93,E98,E103)</f>
        <v>97616.54</v>
      </c>
      <c r="F87" s="52">
        <f>SUM(F88,F93,F98,F103)</f>
        <v>38943.015500000009</v>
      </c>
      <c r="G87" s="52">
        <f>SUM(G88,G93,G98,G103)</f>
        <v>58849.250000000015</v>
      </c>
      <c r="H87" s="52">
        <f t="shared" ref="H87:P87" si="48">SUM(H88,H93,H98,H103)</f>
        <v>42787.846599999997</v>
      </c>
      <c r="I87" s="52">
        <f t="shared" si="48"/>
        <v>9995.9900000000016</v>
      </c>
      <c r="J87" s="52">
        <f t="shared" si="48"/>
        <v>0</v>
      </c>
      <c r="K87" s="52">
        <f t="shared" si="48"/>
        <v>0</v>
      </c>
      <c r="L87" s="52">
        <f t="shared" si="48"/>
        <v>0</v>
      </c>
      <c r="M87" s="52">
        <f t="shared" si="48"/>
        <v>0</v>
      </c>
      <c r="N87" s="52">
        <f t="shared" si="48"/>
        <v>0</v>
      </c>
      <c r="O87" s="52">
        <f t="shared" si="48"/>
        <v>0</v>
      </c>
      <c r="P87" s="52">
        <f t="shared" si="48"/>
        <v>0</v>
      </c>
      <c r="Q87" s="62">
        <f t="shared" si="47"/>
        <v>375424.45209999999</v>
      </c>
      <c r="R87" s="13"/>
      <c r="S87" s="69"/>
      <c r="AD87" s="17">
        <f t="shared" ref="AD87:AD107" si="49">Q87</f>
        <v>375424.45209999999</v>
      </c>
    </row>
    <row r="88" spans="2:30" x14ac:dyDescent="0.2">
      <c r="B88" s="471" t="s">
        <v>153</v>
      </c>
      <c r="C88" s="73" t="s">
        <v>216</v>
      </c>
      <c r="D88" s="77">
        <f t="shared" ref="D88:G88" si="50">SUM(D89:D92)</f>
        <v>123081.51000000001</v>
      </c>
      <c r="E88" s="77">
        <f t="shared" si="50"/>
        <v>87814.739999999991</v>
      </c>
      <c r="F88" s="77">
        <f t="shared" si="50"/>
        <v>29141.215500000006</v>
      </c>
      <c r="G88" s="77">
        <f t="shared" si="50"/>
        <v>49047.450000000012</v>
      </c>
      <c r="H88" s="77">
        <f t="shared" ref="H88:P88" si="51">SUM(H89:H92)</f>
        <v>33947.697800000002</v>
      </c>
      <c r="I88" s="77">
        <f t="shared" si="51"/>
        <v>9995.9900000000016</v>
      </c>
      <c r="J88" s="77">
        <f t="shared" si="51"/>
        <v>0</v>
      </c>
      <c r="K88" s="77">
        <f t="shared" si="51"/>
        <v>0</v>
      </c>
      <c r="L88" s="77">
        <f t="shared" si="51"/>
        <v>0</v>
      </c>
      <c r="M88" s="77">
        <f t="shared" si="51"/>
        <v>0</v>
      </c>
      <c r="N88" s="77">
        <f t="shared" si="51"/>
        <v>0</v>
      </c>
      <c r="O88" s="77">
        <f t="shared" si="51"/>
        <v>0</v>
      </c>
      <c r="P88" s="77">
        <f t="shared" si="51"/>
        <v>0</v>
      </c>
      <c r="Q88" s="62">
        <f t="shared" si="47"/>
        <v>333028.60330000002</v>
      </c>
      <c r="R88" s="13"/>
      <c r="S88" s="69"/>
      <c r="AD88" s="17">
        <f t="shared" si="49"/>
        <v>333028.60330000002</v>
      </c>
    </row>
    <row r="89" spans="2:30" x14ac:dyDescent="0.2">
      <c r="B89" s="471"/>
      <c r="C89" s="10" t="s">
        <v>163</v>
      </c>
      <c r="D89" s="63">
        <f>SUMIFS('Перечень инв.проектов ЭЭ'!M$3:M$308,'Перечень инв.проектов ЭЭ'!$B$3:$B$308,$B$87,'Перечень инв.проектов ЭЭ'!$C$3:$C$308,$S89,'Перечень инв.проектов ЭЭ'!$K$3:$K$308,$C89)</f>
        <v>0</v>
      </c>
      <c r="E89" s="63">
        <f>SUMIFS('Перечень инв.проектов ЭЭ'!N$3:N$308,'Перечень инв.проектов ЭЭ'!$B$3:$B$308,$B$87,'Перечень инв.проектов ЭЭ'!$C$3:$C$308,$S89,'Перечень инв.проектов ЭЭ'!$K$3:$K$308,$C89)</f>
        <v>0</v>
      </c>
      <c r="F89" s="63">
        <f>SUMIFS('Перечень инв.проектов ЭЭ'!O$3:O$308,'Перечень инв.проектов ЭЭ'!$B$3:$B$308,$B$87,'Перечень инв.проектов ЭЭ'!$C$3:$C$308,$S89,'Перечень инв.проектов ЭЭ'!$K$3:$K$308,$C89)</f>
        <v>0</v>
      </c>
      <c r="G89" s="63">
        <f>SUMIFS('Перечень инв.проектов ЭЭ'!P$3:P$308,'Перечень инв.проектов ЭЭ'!$B$3:$B$308,$B$87,'Перечень инв.проектов ЭЭ'!$C$3:$C$308,$S89,'Перечень инв.проектов ЭЭ'!$K$3:$K$308,$C89)</f>
        <v>0</v>
      </c>
      <c r="H89" s="63">
        <f>SUMIFS('Перечень инв.проектов ЭЭ'!Q$3:Q$308,'Перечень инв.проектов ЭЭ'!$B$3:$B$308,$B$87,'Перечень инв.проектов ЭЭ'!$C$3:$C$308,$S89,'Перечень инв.проектов ЭЭ'!$K$3:$K$308,$C89)</f>
        <v>0</v>
      </c>
      <c r="I89" s="63">
        <f>SUMIFS('Перечень инв.проектов ЭЭ'!R$3:R$308,'Перечень инв.проектов ЭЭ'!$B$3:$B$308,$B$87,'Перечень инв.проектов ЭЭ'!$C$3:$C$308,$S89,'Перечень инв.проектов ЭЭ'!$K$3:$K$308,$C89)</f>
        <v>0</v>
      </c>
      <c r="J89" s="63">
        <f>SUMIFS('Перечень инв.проектов ЭЭ'!S$3:S$308,'Перечень инв.проектов ЭЭ'!$B$3:$B$308,$B$87,'Перечень инв.проектов ЭЭ'!$C$3:$C$308,$S89,'Перечень инв.проектов ЭЭ'!$K$3:$K$308,$C89)</f>
        <v>0</v>
      </c>
      <c r="K89" s="63">
        <f>SUMIFS('Перечень инв.проектов ЭЭ'!T$3:T$308,'Перечень инв.проектов ЭЭ'!$B$3:$B$308,$B$87,'Перечень инв.проектов ЭЭ'!$C$3:$C$308,$S89,'Перечень инв.проектов ЭЭ'!$K$3:$K$308,$C89)</f>
        <v>0</v>
      </c>
      <c r="L89" s="63">
        <f>SUMIFS('Перечень инв.проектов ЭЭ'!U$3:U$308,'Перечень инв.проектов ЭЭ'!$B$3:$B$308,$B$87,'Перечень инв.проектов ЭЭ'!$C$3:$C$308,$S89,'Перечень инв.проектов ЭЭ'!$K$3:$K$308,$C89)</f>
        <v>0</v>
      </c>
      <c r="M89" s="63">
        <f>SUMIFS('Перечень инв.проектов ЭЭ'!V$3:V$308,'Перечень инв.проектов ЭЭ'!$B$3:$B$308,$B$87,'Перечень инв.проектов ЭЭ'!$C$3:$C$308,$S89,'Перечень инв.проектов ЭЭ'!$K$3:$K$308,$C89)</f>
        <v>0</v>
      </c>
      <c r="N89" s="63">
        <f>SUMIFS('Перечень инв.проектов ЭЭ'!W$3:W$308,'Перечень инв.проектов ЭЭ'!$B$3:$B$308,$B$87,'Перечень инв.проектов ЭЭ'!$C$3:$C$308,$S89,'Перечень инв.проектов ЭЭ'!$K$3:$K$308,$C89)</f>
        <v>0</v>
      </c>
      <c r="O89" s="63">
        <f>SUMIFS('Перечень инв.проектов ЭЭ'!X$3:X$308,'Перечень инв.проектов ЭЭ'!$B$3:$B$308,$B$87,'Перечень инв.проектов ЭЭ'!$C$3:$C$308,$S89,'Перечень инв.проектов ЭЭ'!$K$3:$K$308,$C89)</f>
        <v>0</v>
      </c>
      <c r="P89" s="63">
        <f>SUMIFS('Перечень инв.проектов ЭЭ'!Y$3:Y$308,'Перечень инв.проектов ЭЭ'!$B$3:$B$308,$B$87,'Перечень инв.проектов ЭЭ'!$C$3:$C$308,$S89,'Перечень инв.проектов ЭЭ'!$K$3:$K$308,$C89)</f>
        <v>0</v>
      </c>
      <c r="Q89" s="62">
        <f t="shared" si="47"/>
        <v>0</v>
      </c>
      <c r="R89" s="13"/>
      <c r="S89" s="69" t="s">
        <v>153</v>
      </c>
      <c r="AD89" s="17">
        <f t="shared" si="49"/>
        <v>0</v>
      </c>
    </row>
    <row r="90" spans="2:30" ht="25.5" x14ac:dyDescent="0.2">
      <c r="B90" s="471"/>
      <c r="C90" s="16" t="s">
        <v>166</v>
      </c>
      <c r="D90" s="63">
        <f>SUMIFS('Перечень инв.проектов ЭЭ'!M$3:M$308,'Перечень инв.проектов ЭЭ'!$B$3:$B$308,$B$87,'Перечень инв.проектов ЭЭ'!$C$3:$C$308,$S90,'Перечень инв.проектов ЭЭ'!$K$3:$K$308,$C90)</f>
        <v>0</v>
      </c>
      <c r="E90" s="63">
        <f>SUMIFS('Перечень инв.проектов ЭЭ'!N$3:N$308,'Перечень инв.проектов ЭЭ'!$B$3:$B$308,$B$87,'Перечень инв.проектов ЭЭ'!$C$3:$C$308,$S90,'Перечень инв.проектов ЭЭ'!$K$3:$K$308,$C90)</f>
        <v>0</v>
      </c>
      <c r="F90" s="63">
        <f>SUMIFS('Перечень инв.проектов ЭЭ'!O$3:O$308,'Перечень инв.проектов ЭЭ'!$B$3:$B$308,$B$87,'Перечень инв.проектов ЭЭ'!$C$3:$C$308,$S90,'Перечень инв.проектов ЭЭ'!$K$3:$K$308,$C90)</f>
        <v>0</v>
      </c>
      <c r="G90" s="63">
        <f>SUMIFS('Перечень инв.проектов ЭЭ'!P$3:P$308,'Перечень инв.проектов ЭЭ'!$B$3:$B$308,$B$87,'Перечень инв.проектов ЭЭ'!$C$3:$C$308,$S90,'Перечень инв.проектов ЭЭ'!$K$3:$K$308,$C90)</f>
        <v>0</v>
      </c>
      <c r="H90" s="63">
        <f>SUMIFS('Перечень инв.проектов ЭЭ'!Q$3:Q$308,'Перечень инв.проектов ЭЭ'!$B$3:$B$308,$B$87,'Перечень инв.проектов ЭЭ'!$C$3:$C$308,$S90,'Перечень инв.проектов ЭЭ'!$K$3:$K$308,$C90)</f>
        <v>0</v>
      </c>
      <c r="I90" s="63">
        <f>SUMIFS('Перечень инв.проектов ЭЭ'!R$3:R$308,'Перечень инв.проектов ЭЭ'!$B$3:$B$308,$B$87,'Перечень инв.проектов ЭЭ'!$C$3:$C$308,$S90,'Перечень инв.проектов ЭЭ'!$K$3:$K$308,$C90)</f>
        <v>0</v>
      </c>
      <c r="J90" s="63">
        <f>SUMIFS('Перечень инв.проектов ЭЭ'!S$3:S$308,'Перечень инв.проектов ЭЭ'!$B$3:$B$308,$B$87,'Перечень инв.проектов ЭЭ'!$C$3:$C$308,$S90,'Перечень инв.проектов ЭЭ'!$K$3:$K$308,$C90)</f>
        <v>0</v>
      </c>
      <c r="K90" s="63">
        <f>SUMIFS('Перечень инв.проектов ЭЭ'!T$3:T$308,'Перечень инв.проектов ЭЭ'!$B$3:$B$308,$B$87,'Перечень инв.проектов ЭЭ'!$C$3:$C$308,$S90,'Перечень инв.проектов ЭЭ'!$K$3:$K$308,$C90)</f>
        <v>0</v>
      </c>
      <c r="L90" s="63">
        <f>SUMIFS('Перечень инв.проектов ЭЭ'!U$3:U$308,'Перечень инв.проектов ЭЭ'!$B$3:$B$308,$B$87,'Перечень инв.проектов ЭЭ'!$C$3:$C$308,$S90,'Перечень инв.проектов ЭЭ'!$K$3:$K$308,$C90)</f>
        <v>0</v>
      </c>
      <c r="M90" s="63">
        <f>SUMIFS('Перечень инв.проектов ЭЭ'!V$3:V$308,'Перечень инв.проектов ЭЭ'!$B$3:$B$308,$B$87,'Перечень инв.проектов ЭЭ'!$C$3:$C$308,$S90,'Перечень инв.проектов ЭЭ'!$K$3:$K$308,$C90)</f>
        <v>0</v>
      </c>
      <c r="N90" s="63">
        <f>SUMIFS('Перечень инв.проектов ЭЭ'!W$3:W$308,'Перечень инв.проектов ЭЭ'!$B$3:$B$308,$B$87,'Перечень инв.проектов ЭЭ'!$C$3:$C$308,$S90,'Перечень инв.проектов ЭЭ'!$K$3:$K$308,$C90)</f>
        <v>0</v>
      </c>
      <c r="O90" s="63">
        <f>SUMIFS('Перечень инв.проектов ЭЭ'!X$3:X$308,'Перечень инв.проектов ЭЭ'!$B$3:$B$308,$B$87,'Перечень инв.проектов ЭЭ'!$C$3:$C$308,$S90,'Перечень инв.проектов ЭЭ'!$K$3:$K$308,$C90)</f>
        <v>0</v>
      </c>
      <c r="P90" s="63">
        <f>SUMIFS('Перечень инв.проектов ЭЭ'!Y$3:Y$308,'Перечень инв.проектов ЭЭ'!$B$3:$B$308,$B$87,'Перечень инв.проектов ЭЭ'!$C$3:$C$308,$S90,'Перечень инв.проектов ЭЭ'!$K$3:$K$308,$C90)</f>
        <v>0</v>
      </c>
      <c r="Q90" s="62">
        <f t="shared" si="47"/>
        <v>0</v>
      </c>
      <c r="R90" s="13"/>
      <c r="S90" s="69" t="s">
        <v>153</v>
      </c>
      <c r="AD90" s="17">
        <f t="shared" si="49"/>
        <v>0</v>
      </c>
    </row>
    <row r="91" spans="2:30" x14ac:dyDescent="0.2">
      <c r="B91" s="471"/>
      <c r="C91" s="16" t="s">
        <v>155</v>
      </c>
      <c r="D91" s="63">
        <f>SUMIFS('Перечень инв.проектов ЭЭ'!M$3:M$308,'Перечень инв.проектов ЭЭ'!$B$3:$B$308,$B$87,'Перечень инв.проектов ЭЭ'!$C$3:$C$308,$S91,'Перечень инв.проектов ЭЭ'!$K$3:$K$308,$C91)</f>
        <v>123081.51000000001</v>
      </c>
      <c r="E91" s="63">
        <f>SUMIFS('Перечень инв.проектов ЭЭ'!N$3:N$308,'Перечень инв.проектов ЭЭ'!$B$3:$B$308,$B$87,'Перечень инв.проектов ЭЭ'!$C$3:$C$308,$S91,'Перечень инв.проектов ЭЭ'!$K$3:$K$308,$C91)</f>
        <v>87814.739999999991</v>
      </c>
      <c r="F91" s="63">
        <f>SUMIFS('Перечень инв.проектов ЭЭ'!O$3:O$308,'Перечень инв.проектов ЭЭ'!$B$3:$B$308,$B$87,'Перечень инв.проектов ЭЭ'!$C$3:$C$308,$S91,'Перечень инв.проектов ЭЭ'!$K$3:$K$308,$C91)</f>
        <v>29141.215500000006</v>
      </c>
      <c r="G91" s="63">
        <f>SUMIFS('Перечень инв.проектов ЭЭ'!P$3:P$308,'Перечень инв.проектов ЭЭ'!$B$3:$B$308,$B$87,'Перечень инв.проектов ЭЭ'!$C$3:$C$308,$S91,'Перечень инв.проектов ЭЭ'!$K$3:$K$308,$C91)</f>
        <v>49047.450000000012</v>
      </c>
      <c r="H91" s="63">
        <f>SUMIFS('Перечень инв.проектов ЭЭ'!Q$3:Q$308,'Перечень инв.проектов ЭЭ'!$B$3:$B$308,$B$87,'Перечень инв.проектов ЭЭ'!$C$3:$C$308,$S91,'Перечень инв.проектов ЭЭ'!$K$3:$K$308,$C91)</f>
        <v>33947.697800000002</v>
      </c>
      <c r="I91" s="63">
        <f>SUMIFS('Перечень инв.проектов ЭЭ'!R$3:R$308,'Перечень инв.проектов ЭЭ'!$B$3:$B$308,$B$87,'Перечень инв.проектов ЭЭ'!$C$3:$C$308,$S91,'Перечень инв.проектов ЭЭ'!$K$3:$K$308,$C91)</f>
        <v>9995.9900000000016</v>
      </c>
      <c r="J91" s="63">
        <f>SUMIFS('Перечень инв.проектов ЭЭ'!S$3:S$308,'Перечень инв.проектов ЭЭ'!$B$3:$B$308,$B$87,'Перечень инв.проектов ЭЭ'!$C$3:$C$308,$S91,'Перечень инв.проектов ЭЭ'!$K$3:$K$308,$C91)</f>
        <v>0</v>
      </c>
      <c r="K91" s="63">
        <f>SUMIFS('Перечень инв.проектов ЭЭ'!T$3:T$308,'Перечень инв.проектов ЭЭ'!$B$3:$B$308,$B$87,'Перечень инв.проектов ЭЭ'!$C$3:$C$308,$S91,'Перечень инв.проектов ЭЭ'!$K$3:$K$308,$C91)</f>
        <v>0</v>
      </c>
      <c r="L91" s="63">
        <f>SUMIFS('Перечень инв.проектов ЭЭ'!U$3:U$308,'Перечень инв.проектов ЭЭ'!$B$3:$B$308,$B$87,'Перечень инв.проектов ЭЭ'!$C$3:$C$308,$S91,'Перечень инв.проектов ЭЭ'!$K$3:$K$308,$C91)</f>
        <v>0</v>
      </c>
      <c r="M91" s="63">
        <f>SUMIFS('Перечень инв.проектов ЭЭ'!V$3:V$308,'Перечень инв.проектов ЭЭ'!$B$3:$B$308,$B$87,'Перечень инв.проектов ЭЭ'!$C$3:$C$308,$S91,'Перечень инв.проектов ЭЭ'!$K$3:$K$308,$C91)</f>
        <v>0</v>
      </c>
      <c r="N91" s="63">
        <f>SUMIFS('Перечень инв.проектов ЭЭ'!W$3:W$308,'Перечень инв.проектов ЭЭ'!$B$3:$B$308,$B$87,'Перечень инв.проектов ЭЭ'!$C$3:$C$308,$S91,'Перечень инв.проектов ЭЭ'!$K$3:$K$308,$C91)</f>
        <v>0</v>
      </c>
      <c r="O91" s="63">
        <f>SUMIFS('Перечень инв.проектов ЭЭ'!X$3:X$308,'Перечень инв.проектов ЭЭ'!$B$3:$B$308,$B$87,'Перечень инв.проектов ЭЭ'!$C$3:$C$308,$S91,'Перечень инв.проектов ЭЭ'!$K$3:$K$308,$C91)</f>
        <v>0</v>
      </c>
      <c r="P91" s="63">
        <f>SUMIFS('Перечень инв.проектов ЭЭ'!Y$3:Y$308,'Перечень инв.проектов ЭЭ'!$B$3:$B$308,$B$87,'Перечень инв.проектов ЭЭ'!$C$3:$C$308,$S91,'Перечень инв.проектов ЭЭ'!$K$3:$K$308,$C91)</f>
        <v>0</v>
      </c>
      <c r="Q91" s="62">
        <f t="shared" si="47"/>
        <v>333028.60330000002</v>
      </c>
      <c r="R91" s="13"/>
      <c r="S91" s="69" t="s">
        <v>153</v>
      </c>
      <c r="AD91" s="17">
        <f t="shared" si="49"/>
        <v>333028.60330000002</v>
      </c>
    </row>
    <row r="92" spans="2:30" x14ac:dyDescent="0.2">
      <c r="B92" s="471"/>
      <c r="C92" s="16" t="s">
        <v>310</v>
      </c>
      <c r="D92" s="63">
        <f>SUMIFS('Перечень инв.проектов ЭЭ'!M$3:M$308,'Перечень инв.проектов ЭЭ'!$B$3:$B$308,$B$87,'Перечень инв.проектов ЭЭ'!$C$3:$C$308,$S92,'Перечень инв.проектов ЭЭ'!$K$3:$K$308,$C92)</f>
        <v>0</v>
      </c>
      <c r="E92" s="63">
        <f>SUMIFS('Перечень инв.проектов ЭЭ'!N$3:N$308,'Перечень инв.проектов ЭЭ'!$B$3:$B$308,$B$87,'Перечень инв.проектов ЭЭ'!$C$3:$C$308,$S92,'Перечень инв.проектов ЭЭ'!$K$3:$K$308,$C92)</f>
        <v>0</v>
      </c>
      <c r="F92" s="63">
        <f>SUMIFS('Перечень инв.проектов ЭЭ'!O$3:O$308,'Перечень инв.проектов ЭЭ'!$B$3:$B$308,$B$87,'Перечень инв.проектов ЭЭ'!$C$3:$C$308,$S92,'Перечень инв.проектов ЭЭ'!$K$3:$K$308,$C92)</f>
        <v>0</v>
      </c>
      <c r="G92" s="63">
        <f>SUMIFS('Перечень инв.проектов ЭЭ'!P$3:P$308,'Перечень инв.проектов ЭЭ'!$B$3:$B$308,$B$87,'Перечень инв.проектов ЭЭ'!$C$3:$C$308,$S92,'Перечень инв.проектов ЭЭ'!$K$3:$K$308,$C92)</f>
        <v>0</v>
      </c>
      <c r="H92" s="63">
        <f>SUMIFS('Перечень инв.проектов ЭЭ'!Q$3:Q$308,'Перечень инв.проектов ЭЭ'!$B$3:$B$308,$B$87,'Перечень инв.проектов ЭЭ'!$C$3:$C$308,$S92,'Перечень инв.проектов ЭЭ'!$K$3:$K$308,$C92)</f>
        <v>0</v>
      </c>
      <c r="I92" s="63">
        <f>SUMIFS('Перечень инв.проектов ЭЭ'!R$3:R$308,'Перечень инв.проектов ЭЭ'!$B$3:$B$308,$B$87,'Перечень инв.проектов ЭЭ'!$C$3:$C$308,$S92,'Перечень инв.проектов ЭЭ'!$K$3:$K$308,$C92)</f>
        <v>0</v>
      </c>
      <c r="J92" s="63">
        <f>SUMIFS('Перечень инв.проектов ЭЭ'!S$3:S$308,'Перечень инв.проектов ЭЭ'!$B$3:$B$308,$B$87,'Перечень инв.проектов ЭЭ'!$C$3:$C$308,$S92,'Перечень инв.проектов ЭЭ'!$K$3:$K$308,$C92)</f>
        <v>0</v>
      </c>
      <c r="K92" s="63">
        <f>SUMIFS('Перечень инв.проектов ЭЭ'!T$3:T$308,'Перечень инв.проектов ЭЭ'!$B$3:$B$308,$B$87,'Перечень инв.проектов ЭЭ'!$C$3:$C$308,$S92,'Перечень инв.проектов ЭЭ'!$K$3:$K$308,$C92)</f>
        <v>0</v>
      </c>
      <c r="L92" s="63">
        <f>SUMIFS('Перечень инв.проектов ЭЭ'!U$3:U$308,'Перечень инв.проектов ЭЭ'!$B$3:$B$308,$B$87,'Перечень инв.проектов ЭЭ'!$C$3:$C$308,$S92,'Перечень инв.проектов ЭЭ'!$K$3:$K$308,$C92)</f>
        <v>0</v>
      </c>
      <c r="M92" s="63">
        <f>SUMIFS('Перечень инв.проектов ЭЭ'!V$3:V$308,'Перечень инв.проектов ЭЭ'!$B$3:$B$308,$B$87,'Перечень инв.проектов ЭЭ'!$C$3:$C$308,$S92,'Перечень инв.проектов ЭЭ'!$K$3:$K$308,$C92)</f>
        <v>0</v>
      </c>
      <c r="N92" s="63">
        <f>SUMIFS('Перечень инв.проектов ЭЭ'!W$3:W$308,'Перечень инв.проектов ЭЭ'!$B$3:$B$308,$B$87,'Перечень инв.проектов ЭЭ'!$C$3:$C$308,$S92,'Перечень инв.проектов ЭЭ'!$K$3:$K$308,$C92)</f>
        <v>0</v>
      </c>
      <c r="O92" s="63">
        <f>SUMIFS('Перечень инв.проектов ЭЭ'!X$3:X$308,'Перечень инв.проектов ЭЭ'!$B$3:$B$308,$B$87,'Перечень инв.проектов ЭЭ'!$C$3:$C$308,$S92,'Перечень инв.проектов ЭЭ'!$K$3:$K$308,$C92)</f>
        <v>0</v>
      </c>
      <c r="P92" s="63">
        <f>SUMIFS('Перечень инв.проектов ЭЭ'!Y$3:Y$308,'Перечень инв.проектов ЭЭ'!$B$3:$B$308,$B$87,'Перечень инв.проектов ЭЭ'!$C$3:$C$308,$S92,'Перечень инв.проектов ЭЭ'!$K$3:$K$308,$C92)</f>
        <v>0</v>
      </c>
      <c r="Q92" s="62">
        <f t="shared" si="47"/>
        <v>0</v>
      </c>
      <c r="R92" s="13"/>
      <c r="S92" s="69" t="s">
        <v>153</v>
      </c>
      <c r="AD92" s="17">
        <f t="shared" si="49"/>
        <v>0</v>
      </c>
    </row>
    <row r="93" spans="2:30" ht="13.15" customHeight="1" x14ac:dyDescent="0.2">
      <c r="B93" s="471" t="s">
        <v>164</v>
      </c>
      <c r="C93" s="73" t="s">
        <v>216</v>
      </c>
      <c r="D93" s="77">
        <f t="shared" ref="D93:G93" si="52">SUM(D94:D97)</f>
        <v>4150.2999999999993</v>
      </c>
      <c r="E93" s="77">
        <f t="shared" si="52"/>
        <v>9801.7999999999993</v>
      </c>
      <c r="F93" s="77">
        <f t="shared" si="52"/>
        <v>9801.7999999999993</v>
      </c>
      <c r="G93" s="77">
        <f t="shared" si="52"/>
        <v>9801.7999999999993</v>
      </c>
      <c r="H93" s="77">
        <f t="shared" ref="H93:P93" si="53">SUM(H94:H97)</f>
        <v>8840.1487999999936</v>
      </c>
      <c r="I93" s="77">
        <f t="shared" si="53"/>
        <v>0</v>
      </c>
      <c r="J93" s="77">
        <f t="shared" si="53"/>
        <v>0</v>
      </c>
      <c r="K93" s="77">
        <f t="shared" si="53"/>
        <v>0</v>
      </c>
      <c r="L93" s="77">
        <f t="shared" si="53"/>
        <v>0</v>
      </c>
      <c r="M93" s="77">
        <f t="shared" si="53"/>
        <v>0</v>
      </c>
      <c r="N93" s="77">
        <f t="shared" si="53"/>
        <v>0</v>
      </c>
      <c r="O93" s="77">
        <f t="shared" si="53"/>
        <v>0</v>
      </c>
      <c r="P93" s="77">
        <f t="shared" si="53"/>
        <v>0</v>
      </c>
      <c r="Q93" s="62">
        <f t="shared" si="47"/>
        <v>42395.848799999992</v>
      </c>
      <c r="R93" s="13"/>
      <c r="S93" s="69"/>
      <c r="AD93" s="17">
        <f t="shared" si="49"/>
        <v>42395.848799999992</v>
      </c>
    </row>
    <row r="94" spans="2:30" x14ac:dyDescent="0.2">
      <c r="B94" s="471"/>
      <c r="C94" s="10" t="s">
        <v>163</v>
      </c>
      <c r="D94" s="63">
        <f>SUMIFS('Перечень инв.проектов ЭЭ'!M$3:M$308,'Перечень инв.проектов ЭЭ'!$B$3:$B$308,$B$87,'Перечень инв.проектов ЭЭ'!$C$3:$C$308,$S94,'Перечень инв.проектов ЭЭ'!$K$3:$K$308,$C94)</f>
        <v>0</v>
      </c>
      <c r="E94" s="63">
        <f>SUMIFS('Перечень инв.проектов ЭЭ'!N$3:N$308,'Перечень инв.проектов ЭЭ'!$B$3:$B$308,$B$87,'Перечень инв.проектов ЭЭ'!$C$3:$C$308,$S94,'Перечень инв.проектов ЭЭ'!$K$3:$K$308,$C94)</f>
        <v>0</v>
      </c>
      <c r="F94" s="63">
        <f>SUMIFS('Перечень инв.проектов ЭЭ'!O$3:O$308,'Перечень инв.проектов ЭЭ'!$B$3:$B$308,$B$87,'Перечень инв.проектов ЭЭ'!$C$3:$C$308,$S94,'Перечень инв.проектов ЭЭ'!$K$3:$K$308,$C94)</f>
        <v>0</v>
      </c>
      <c r="G94" s="63">
        <f>SUMIFS('Перечень инв.проектов ЭЭ'!P$3:P$308,'Перечень инв.проектов ЭЭ'!$B$3:$B$308,$B$87,'Перечень инв.проектов ЭЭ'!$C$3:$C$308,$S94,'Перечень инв.проектов ЭЭ'!$K$3:$K$308,$C94)</f>
        <v>0</v>
      </c>
      <c r="H94" s="63">
        <f>SUMIFS('Перечень инв.проектов ЭЭ'!Q$3:Q$308,'Перечень инв.проектов ЭЭ'!$B$3:$B$308,$B$87,'Перечень инв.проектов ЭЭ'!$C$3:$C$308,$S94,'Перечень инв.проектов ЭЭ'!$K$3:$K$308,$C94)</f>
        <v>0</v>
      </c>
      <c r="I94" s="63">
        <f>SUMIFS('Перечень инв.проектов ЭЭ'!R$3:R$308,'Перечень инв.проектов ЭЭ'!$B$3:$B$308,$B$87,'Перечень инв.проектов ЭЭ'!$C$3:$C$308,$S94,'Перечень инв.проектов ЭЭ'!$K$3:$K$308,$C94)</f>
        <v>0</v>
      </c>
      <c r="J94" s="63">
        <f>SUMIFS('Перечень инв.проектов ЭЭ'!S$3:S$308,'Перечень инв.проектов ЭЭ'!$B$3:$B$308,$B$87,'Перечень инв.проектов ЭЭ'!$C$3:$C$308,$S94,'Перечень инв.проектов ЭЭ'!$K$3:$K$308,$C94)</f>
        <v>0</v>
      </c>
      <c r="K94" s="63">
        <f>SUMIFS('Перечень инв.проектов ЭЭ'!T$3:T$308,'Перечень инв.проектов ЭЭ'!$B$3:$B$308,$B$87,'Перечень инв.проектов ЭЭ'!$C$3:$C$308,$S94,'Перечень инв.проектов ЭЭ'!$K$3:$K$308,$C94)</f>
        <v>0</v>
      </c>
      <c r="L94" s="63">
        <f>SUMIFS('Перечень инв.проектов ЭЭ'!U$3:U$308,'Перечень инв.проектов ЭЭ'!$B$3:$B$308,$B$87,'Перечень инв.проектов ЭЭ'!$C$3:$C$308,$S94,'Перечень инв.проектов ЭЭ'!$K$3:$K$308,$C94)</f>
        <v>0</v>
      </c>
      <c r="M94" s="63">
        <f>SUMIFS('Перечень инв.проектов ЭЭ'!V$3:V$308,'Перечень инв.проектов ЭЭ'!$B$3:$B$308,$B$87,'Перечень инв.проектов ЭЭ'!$C$3:$C$308,$S94,'Перечень инв.проектов ЭЭ'!$K$3:$K$308,$C94)</f>
        <v>0</v>
      </c>
      <c r="N94" s="63">
        <f>SUMIFS('Перечень инв.проектов ЭЭ'!W$3:W$308,'Перечень инв.проектов ЭЭ'!$B$3:$B$308,$B$87,'Перечень инв.проектов ЭЭ'!$C$3:$C$308,$S94,'Перечень инв.проектов ЭЭ'!$K$3:$K$308,$C94)</f>
        <v>0</v>
      </c>
      <c r="O94" s="63">
        <f>SUMIFS('Перечень инв.проектов ЭЭ'!X$3:X$308,'Перечень инв.проектов ЭЭ'!$B$3:$B$308,$B$87,'Перечень инв.проектов ЭЭ'!$C$3:$C$308,$S94,'Перечень инв.проектов ЭЭ'!$K$3:$K$308,$C94)</f>
        <v>0</v>
      </c>
      <c r="P94" s="63">
        <f>SUMIFS('Перечень инв.проектов ЭЭ'!Y$3:Y$308,'Перечень инв.проектов ЭЭ'!$B$3:$B$308,$B$87,'Перечень инв.проектов ЭЭ'!$C$3:$C$308,$S94,'Перечень инв.проектов ЭЭ'!$K$3:$K$308,$C94)</f>
        <v>0</v>
      </c>
      <c r="Q94" s="62">
        <f t="shared" si="47"/>
        <v>0</v>
      </c>
      <c r="R94" s="13"/>
      <c r="S94" s="69" t="s">
        <v>164</v>
      </c>
      <c r="AD94" s="17">
        <f t="shared" si="49"/>
        <v>0</v>
      </c>
    </row>
    <row r="95" spans="2:30" ht="25.5" x14ac:dyDescent="0.2">
      <c r="B95" s="471"/>
      <c r="C95" s="16" t="s">
        <v>166</v>
      </c>
      <c r="D95" s="63">
        <f>SUMIFS('Перечень инв.проектов ЭЭ'!M$3:M$308,'Перечень инв.проектов ЭЭ'!$B$3:$B$308,$B$87,'Перечень инв.проектов ЭЭ'!$C$3:$C$308,$S95,'Перечень инв.проектов ЭЭ'!$K$3:$K$308,$C95)</f>
        <v>4150.2999999999993</v>
      </c>
      <c r="E95" s="63">
        <f>SUMIFS('Перечень инв.проектов ЭЭ'!N$3:N$308,'Перечень инв.проектов ЭЭ'!$B$3:$B$308,$B$87,'Перечень инв.проектов ЭЭ'!$C$3:$C$308,$S95,'Перечень инв.проектов ЭЭ'!$K$3:$K$308,$C95)</f>
        <v>9801.7999999999993</v>
      </c>
      <c r="F95" s="63">
        <f>SUMIFS('Перечень инв.проектов ЭЭ'!O$3:O$308,'Перечень инв.проектов ЭЭ'!$B$3:$B$308,$B$87,'Перечень инв.проектов ЭЭ'!$C$3:$C$308,$S95,'Перечень инв.проектов ЭЭ'!$K$3:$K$308,$C95)</f>
        <v>9801.7999999999993</v>
      </c>
      <c r="G95" s="63">
        <f>SUMIFS('Перечень инв.проектов ЭЭ'!P$3:P$308,'Перечень инв.проектов ЭЭ'!$B$3:$B$308,$B$87,'Перечень инв.проектов ЭЭ'!$C$3:$C$308,$S95,'Перечень инв.проектов ЭЭ'!$K$3:$K$308,$C95)</f>
        <v>9801.7999999999993</v>
      </c>
      <c r="H95" s="63">
        <f>SUMIFS('Перечень инв.проектов ЭЭ'!Q$3:Q$308,'Перечень инв.проектов ЭЭ'!$B$3:$B$308,$B$87,'Перечень инв.проектов ЭЭ'!$C$3:$C$308,$S95,'Перечень инв.проектов ЭЭ'!$K$3:$K$308,$C95)</f>
        <v>8840.1487999999936</v>
      </c>
      <c r="I95" s="63">
        <f>SUMIFS('Перечень инв.проектов ЭЭ'!R$3:R$308,'Перечень инв.проектов ЭЭ'!$B$3:$B$308,$B$87,'Перечень инв.проектов ЭЭ'!$C$3:$C$308,$S95,'Перечень инв.проектов ЭЭ'!$K$3:$K$308,$C95)</f>
        <v>0</v>
      </c>
      <c r="J95" s="63">
        <f>SUMIFS('Перечень инв.проектов ЭЭ'!S$3:S$308,'Перечень инв.проектов ЭЭ'!$B$3:$B$308,$B$87,'Перечень инв.проектов ЭЭ'!$C$3:$C$308,$S95,'Перечень инв.проектов ЭЭ'!$K$3:$K$308,$C95)</f>
        <v>0</v>
      </c>
      <c r="K95" s="63">
        <f>SUMIFS('Перечень инв.проектов ЭЭ'!T$3:T$308,'Перечень инв.проектов ЭЭ'!$B$3:$B$308,$B$87,'Перечень инв.проектов ЭЭ'!$C$3:$C$308,$S95,'Перечень инв.проектов ЭЭ'!$K$3:$K$308,$C95)</f>
        <v>0</v>
      </c>
      <c r="L95" s="63">
        <f>SUMIFS('Перечень инв.проектов ЭЭ'!U$3:U$308,'Перечень инв.проектов ЭЭ'!$B$3:$B$308,$B$87,'Перечень инв.проектов ЭЭ'!$C$3:$C$308,$S95,'Перечень инв.проектов ЭЭ'!$K$3:$K$308,$C95)</f>
        <v>0</v>
      </c>
      <c r="M95" s="63">
        <f>SUMIFS('Перечень инв.проектов ЭЭ'!V$3:V$308,'Перечень инв.проектов ЭЭ'!$B$3:$B$308,$B$87,'Перечень инв.проектов ЭЭ'!$C$3:$C$308,$S95,'Перечень инв.проектов ЭЭ'!$K$3:$K$308,$C95)</f>
        <v>0</v>
      </c>
      <c r="N95" s="63">
        <f>SUMIFS('Перечень инв.проектов ЭЭ'!W$3:W$308,'Перечень инв.проектов ЭЭ'!$B$3:$B$308,$B$87,'Перечень инв.проектов ЭЭ'!$C$3:$C$308,$S95,'Перечень инв.проектов ЭЭ'!$K$3:$K$308,$C95)</f>
        <v>0</v>
      </c>
      <c r="O95" s="63">
        <f>SUMIFS('Перечень инв.проектов ЭЭ'!X$3:X$308,'Перечень инв.проектов ЭЭ'!$B$3:$B$308,$B$87,'Перечень инв.проектов ЭЭ'!$C$3:$C$308,$S95,'Перечень инв.проектов ЭЭ'!$K$3:$K$308,$C95)</f>
        <v>0</v>
      </c>
      <c r="P95" s="63">
        <f>SUMIFS('Перечень инв.проектов ЭЭ'!Y$3:Y$308,'Перечень инв.проектов ЭЭ'!$B$3:$B$308,$B$87,'Перечень инв.проектов ЭЭ'!$C$3:$C$308,$S95,'Перечень инв.проектов ЭЭ'!$K$3:$K$308,$C95)</f>
        <v>0</v>
      </c>
      <c r="Q95" s="62">
        <f t="shared" si="47"/>
        <v>42395.848799999992</v>
      </c>
      <c r="R95" s="13"/>
      <c r="S95" s="69" t="s">
        <v>164</v>
      </c>
      <c r="AD95" s="17">
        <f t="shared" si="49"/>
        <v>42395.848799999992</v>
      </c>
    </row>
    <row r="96" spans="2:30" x14ac:dyDescent="0.2">
      <c r="B96" s="471"/>
      <c r="C96" s="16" t="s">
        <v>155</v>
      </c>
      <c r="D96" s="63">
        <f>SUMIFS('Перечень инв.проектов ЭЭ'!M$3:M$308,'Перечень инв.проектов ЭЭ'!$B$3:$B$308,$B$87,'Перечень инв.проектов ЭЭ'!$C$3:$C$308,$S96,'Перечень инв.проектов ЭЭ'!$K$3:$K$308,$C96)</f>
        <v>0</v>
      </c>
      <c r="E96" s="63">
        <f>SUMIFS('Перечень инв.проектов ЭЭ'!N$3:N$308,'Перечень инв.проектов ЭЭ'!$B$3:$B$308,$B$87,'Перечень инв.проектов ЭЭ'!$C$3:$C$308,$S96,'Перечень инв.проектов ЭЭ'!$K$3:$K$308,$C96)</f>
        <v>0</v>
      </c>
      <c r="F96" s="63">
        <f>SUMIFS('Перечень инв.проектов ЭЭ'!O$3:O$308,'Перечень инв.проектов ЭЭ'!$B$3:$B$308,$B$87,'Перечень инв.проектов ЭЭ'!$C$3:$C$308,$S96,'Перечень инв.проектов ЭЭ'!$K$3:$K$308,$C96)</f>
        <v>0</v>
      </c>
      <c r="G96" s="63">
        <f>SUMIFS('Перечень инв.проектов ЭЭ'!P$3:P$308,'Перечень инв.проектов ЭЭ'!$B$3:$B$308,$B$87,'Перечень инв.проектов ЭЭ'!$C$3:$C$308,$S96,'Перечень инв.проектов ЭЭ'!$K$3:$K$308,$C96)</f>
        <v>0</v>
      </c>
      <c r="H96" s="63">
        <f>SUMIFS('Перечень инв.проектов ЭЭ'!Q$3:Q$308,'Перечень инв.проектов ЭЭ'!$B$3:$B$308,$B$87,'Перечень инв.проектов ЭЭ'!$C$3:$C$308,$S96,'Перечень инв.проектов ЭЭ'!$K$3:$K$308,$C96)</f>
        <v>0</v>
      </c>
      <c r="I96" s="63">
        <f>SUMIFS('Перечень инв.проектов ЭЭ'!R$3:R$308,'Перечень инв.проектов ЭЭ'!$B$3:$B$308,$B$87,'Перечень инв.проектов ЭЭ'!$C$3:$C$308,$S96,'Перечень инв.проектов ЭЭ'!$K$3:$K$308,$C96)</f>
        <v>0</v>
      </c>
      <c r="J96" s="63">
        <f>SUMIFS('Перечень инв.проектов ЭЭ'!S$3:S$308,'Перечень инв.проектов ЭЭ'!$B$3:$B$308,$B$87,'Перечень инв.проектов ЭЭ'!$C$3:$C$308,$S96,'Перечень инв.проектов ЭЭ'!$K$3:$K$308,$C96)</f>
        <v>0</v>
      </c>
      <c r="K96" s="63">
        <f>SUMIFS('Перечень инв.проектов ЭЭ'!T$3:T$308,'Перечень инв.проектов ЭЭ'!$B$3:$B$308,$B$87,'Перечень инв.проектов ЭЭ'!$C$3:$C$308,$S96,'Перечень инв.проектов ЭЭ'!$K$3:$K$308,$C96)</f>
        <v>0</v>
      </c>
      <c r="L96" s="63">
        <f>SUMIFS('Перечень инв.проектов ЭЭ'!U$3:U$308,'Перечень инв.проектов ЭЭ'!$B$3:$B$308,$B$87,'Перечень инв.проектов ЭЭ'!$C$3:$C$308,$S96,'Перечень инв.проектов ЭЭ'!$K$3:$K$308,$C96)</f>
        <v>0</v>
      </c>
      <c r="M96" s="63">
        <f>SUMIFS('Перечень инв.проектов ЭЭ'!V$3:V$308,'Перечень инв.проектов ЭЭ'!$B$3:$B$308,$B$87,'Перечень инв.проектов ЭЭ'!$C$3:$C$308,$S96,'Перечень инв.проектов ЭЭ'!$K$3:$K$308,$C96)</f>
        <v>0</v>
      </c>
      <c r="N96" s="63">
        <f>SUMIFS('Перечень инв.проектов ЭЭ'!W$3:W$308,'Перечень инв.проектов ЭЭ'!$B$3:$B$308,$B$87,'Перечень инв.проектов ЭЭ'!$C$3:$C$308,$S96,'Перечень инв.проектов ЭЭ'!$K$3:$K$308,$C96)</f>
        <v>0</v>
      </c>
      <c r="O96" s="63">
        <f>SUMIFS('Перечень инв.проектов ЭЭ'!X$3:X$308,'Перечень инв.проектов ЭЭ'!$B$3:$B$308,$B$87,'Перечень инв.проектов ЭЭ'!$C$3:$C$308,$S96,'Перечень инв.проектов ЭЭ'!$K$3:$K$308,$C96)</f>
        <v>0</v>
      </c>
      <c r="P96" s="63">
        <f>SUMIFS('Перечень инв.проектов ЭЭ'!Y$3:Y$308,'Перечень инв.проектов ЭЭ'!$B$3:$B$308,$B$87,'Перечень инв.проектов ЭЭ'!$C$3:$C$308,$S96,'Перечень инв.проектов ЭЭ'!$K$3:$K$308,$C96)</f>
        <v>0</v>
      </c>
      <c r="Q96" s="62">
        <f t="shared" si="47"/>
        <v>0</v>
      </c>
      <c r="R96" s="13"/>
      <c r="S96" s="69" t="s">
        <v>164</v>
      </c>
      <c r="AD96" s="17">
        <f t="shared" si="49"/>
        <v>0</v>
      </c>
    </row>
    <row r="97" spans="2:30" x14ac:dyDescent="0.2">
      <c r="B97" s="471"/>
      <c r="C97" s="16" t="s">
        <v>310</v>
      </c>
      <c r="D97" s="63">
        <f>SUMIFS('Перечень инв.проектов ЭЭ'!M$3:M$308,'Перечень инв.проектов ЭЭ'!$B$3:$B$308,$B$87,'Перечень инв.проектов ЭЭ'!$C$3:$C$308,$S97,'Перечень инв.проектов ЭЭ'!$K$3:$K$308,$C97)</f>
        <v>0</v>
      </c>
      <c r="E97" s="63">
        <f>SUMIFS('Перечень инв.проектов ЭЭ'!N$3:N$308,'Перечень инв.проектов ЭЭ'!$B$3:$B$308,$B$87,'Перечень инв.проектов ЭЭ'!$C$3:$C$308,$S97,'Перечень инв.проектов ЭЭ'!$K$3:$K$308,$C97)</f>
        <v>0</v>
      </c>
      <c r="F97" s="63">
        <f>SUMIFS('Перечень инв.проектов ЭЭ'!O$3:O$308,'Перечень инв.проектов ЭЭ'!$B$3:$B$308,$B$87,'Перечень инв.проектов ЭЭ'!$C$3:$C$308,$S97,'Перечень инв.проектов ЭЭ'!$K$3:$K$308,$C97)</f>
        <v>0</v>
      </c>
      <c r="G97" s="63">
        <f>SUMIFS('Перечень инв.проектов ЭЭ'!P$3:P$308,'Перечень инв.проектов ЭЭ'!$B$3:$B$308,$B$87,'Перечень инв.проектов ЭЭ'!$C$3:$C$308,$S97,'Перечень инв.проектов ЭЭ'!$K$3:$K$308,$C97)</f>
        <v>0</v>
      </c>
      <c r="H97" s="63">
        <f>SUMIFS('Перечень инв.проектов ЭЭ'!Q$3:Q$308,'Перечень инв.проектов ЭЭ'!$B$3:$B$308,$B$87,'Перечень инв.проектов ЭЭ'!$C$3:$C$308,$S97,'Перечень инв.проектов ЭЭ'!$K$3:$K$308,$C97)</f>
        <v>0</v>
      </c>
      <c r="I97" s="63">
        <f>SUMIFS('Перечень инв.проектов ЭЭ'!R$3:R$308,'Перечень инв.проектов ЭЭ'!$B$3:$B$308,$B$87,'Перечень инв.проектов ЭЭ'!$C$3:$C$308,$S97,'Перечень инв.проектов ЭЭ'!$K$3:$K$308,$C97)</f>
        <v>0</v>
      </c>
      <c r="J97" s="63">
        <f>SUMIFS('Перечень инв.проектов ЭЭ'!S$3:S$308,'Перечень инв.проектов ЭЭ'!$B$3:$B$308,$B$87,'Перечень инв.проектов ЭЭ'!$C$3:$C$308,$S97,'Перечень инв.проектов ЭЭ'!$K$3:$K$308,$C97)</f>
        <v>0</v>
      </c>
      <c r="K97" s="63">
        <f>SUMIFS('Перечень инв.проектов ЭЭ'!T$3:T$308,'Перечень инв.проектов ЭЭ'!$B$3:$B$308,$B$87,'Перечень инв.проектов ЭЭ'!$C$3:$C$308,$S97,'Перечень инв.проектов ЭЭ'!$K$3:$K$308,$C97)</f>
        <v>0</v>
      </c>
      <c r="L97" s="63">
        <f>SUMIFS('Перечень инв.проектов ЭЭ'!U$3:U$308,'Перечень инв.проектов ЭЭ'!$B$3:$B$308,$B$87,'Перечень инв.проектов ЭЭ'!$C$3:$C$308,$S97,'Перечень инв.проектов ЭЭ'!$K$3:$K$308,$C97)</f>
        <v>0</v>
      </c>
      <c r="M97" s="63">
        <f>SUMIFS('Перечень инв.проектов ЭЭ'!V$3:V$308,'Перечень инв.проектов ЭЭ'!$B$3:$B$308,$B$87,'Перечень инв.проектов ЭЭ'!$C$3:$C$308,$S97,'Перечень инв.проектов ЭЭ'!$K$3:$K$308,$C97)</f>
        <v>0</v>
      </c>
      <c r="N97" s="63">
        <f>SUMIFS('Перечень инв.проектов ЭЭ'!W$3:W$308,'Перечень инв.проектов ЭЭ'!$B$3:$B$308,$B$87,'Перечень инв.проектов ЭЭ'!$C$3:$C$308,$S97,'Перечень инв.проектов ЭЭ'!$K$3:$K$308,$C97)</f>
        <v>0</v>
      </c>
      <c r="O97" s="63">
        <f>SUMIFS('Перечень инв.проектов ЭЭ'!X$3:X$308,'Перечень инв.проектов ЭЭ'!$B$3:$B$308,$B$87,'Перечень инв.проектов ЭЭ'!$C$3:$C$308,$S97,'Перечень инв.проектов ЭЭ'!$K$3:$K$308,$C97)</f>
        <v>0</v>
      </c>
      <c r="P97" s="63">
        <f>SUMIFS('Перечень инв.проектов ЭЭ'!Y$3:Y$308,'Перечень инв.проектов ЭЭ'!$B$3:$B$308,$B$87,'Перечень инв.проектов ЭЭ'!$C$3:$C$308,$S97,'Перечень инв.проектов ЭЭ'!$K$3:$K$308,$C97)</f>
        <v>0</v>
      </c>
      <c r="Q97" s="62">
        <f t="shared" si="47"/>
        <v>0</v>
      </c>
      <c r="R97" s="13"/>
      <c r="S97" s="69" t="s">
        <v>164</v>
      </c>
      <c r="AD97" s="17">
        <f t="shared" si="49"/>
        <v>0</v>
      </c>
    </row>
    <row r="98" spans="2:30" ht="13.15" customHeight="1" x14ac:dyDescent="0.2">
      <c r="B98" s="471" t="s">
        <v>169</v>
      </c>
      <c r="C98" s="73" t="s">
        <v>216</v>
      </c>
      <c r="D98" s="77">
        <f t="shared" ref="D98:G98" si="54">SUM(D99:D102)</f>
        <v>0</v>
      </c>
      <c r="E98" s="77">
        <f t="shared" si="54"/>
        <v>0</v>
      </c>
      <c r="F98" s="77">
        <f t="shared" si="54"/>
        <v>0</v>
      </c>
      <c r="G98" s="77">
        <f t="shared" si="54"/>
        <v>0</v>
      </c>
      <c r="H98" s="77">
        <f t="shared" ref="H98:P98" si="55">SUM(H99:H102)</f>
        <v>0</v>
      </c>
      <c r="I98" s="77">
        <f t="shared" si="55"/>
        <v>0</v>
      </c>
      <c r="J98" s="77">
        <f t="shared" si="55"/>
        <v>0</v>
      </c>
      <c r="K98" s="77">
        <f t="shared" si="55"/>
        <v>0</v>
      </c>
      <c r="L98" s="77">
        <f t="shared" si="55"/>
        <v>0</v>
      </c>
      <c r="M98" s="77">
        <f t="shared" si="55"/>
        <v>0</v>
      </c>
      <c r="N98" s="77">
        <f t="shared" si="55"/>
        <v>0</v>
      </c>
      <c r="O98" s="77">
        <f t="shared" si="55"/>
        <v>0</v>
      </c>
      <c r="P98" s="77">
        <f t="shared" si="55"/>
        <v>0</v>
      </c>
      <c r="Q98" s="62">
        <f t="shared" si="47"/>
        <v>0</v>
      </c>
      <c r="R98" s="13"/>
      <c r="S98" s="69"/>
      <c r="AD98" s="17">
        <f t="shared" si="49"/>
        <v>0</v>
      </c>
    </row>
    <row r="99" spans="2:30" x14ac:dyDescent="0.2">
      <c r="B99" s="471"/>
      <c r="C99" s="10" t="s">
        <v>163</v>
      </c>
      <c r="D99" s="63">
        <f>SUMIFS('Перечень инв.проектов ЭЭ'!M$3:M$308,'Перечень инв.проектов ЭЭ'!$B$3:$B$308,$B$87,'Перечень инв.проектов ЭЭ'!$C$3:$C$308,$S99,'Перечень инв.проектов ЭЭ'!$K$3:$K$308,$C99)</f>
        <v>0</v>
      </c>
      <c r="E99" s="63">
        <f>SUMIFS('Перечень инв.проектов ЭЭ'!N$3:N$308,'Перечень инв.проектов ЭЭ'!$B$3:$B$308,$B$87,'Перечень инв.проектов ЭЭ'!$C$3:$C$308,$S99,'Перечень инв.проектов ЭЭ'!$K$3:$K$308,$C99)</f>
        <v>0</v>
      </c>
      <c r="F99" s="63">
        <f>SUMIFS('Перечень инв.проектов ЭЭ'!O$3:O$308,'Перечень инв.проектов ЭЭ'!$B$3:$B$308,$B$87,'Перечень инв.проектов ЭЭ'!$C$3:$C$308,$S99,'Перечень инв.проектов ЭЭ'!$K$3:$K$308,$C99)</f>
        <v>0</v>
      </c>
      <c r="G99" s="63">
        <f>SUMIFS('Перечень инв.проектов ЭЭ'!P$3:P$308,'Перечень инв.проектов ЭЭ'!$B$3:$B$308,$B$87,'Перечень инв.проектов ЭЭ'!$C$3:$C$308,$S99,'Перечень инв.проектов ЭЭ'!$K$3:$K$308,$C99)</f>
        <v>0</v>
      </c>
      <c r="H99" s="63">
        <f>SUMIFS('Перечень инв.проектов ЭЭ'!Q$3:Q$308,'Перечень инв.проектов ЭЭ'!$B$3:$B$308,$B$87,'Перечень инв.проектов ЭЭ'!$C$3:$C$308,$S99,'Перечень инв.проектов ЭЭ'!$K$3:$K$308,$C99)</f>
        <v>0</v>
      </c>
      <c r="I99" s="63">
        <f>SUMIFS('Перечень инв.проектов ЭЭ'!R$3:R$308,'Перечень инв.проектов ЭЭ'!$B$3:$B$308,$B$87,'Перечень инв.проектов ЭЭ'!$C$3:$C$308,$S99,'Перечень инв.проектов ЭЭ'!$K$3:$K$308,$C99)</f>
        <v>0</v>
      </c>
      <c r="J99" s="63">
        <f>SUMIFS('Перечень инв.проектов ЭЭ'!S$3:S$308,'Перечень инв.проектов ЭЭ'!$B$3:$B$308,$B$87,'Перечень инв.проектов ЭЭ'!$C$3:$C$308,$S99,'Перечень инв.проектов ЭЭ'!$K$3:$K$308,$C99)</f>
        <v>0</v>
      </c>
      <c r="K99" s="63">
        <f>SUMIFS('Перечень инв.проектов ЭЭ'!T$3:T$308,'Перечень инв.проектов ЭЭ'!$B$3:$B$308,$B$87,'Перечень инв.проектов ЭЭ'!$C$3:$C$308,$S99,'Перечень инв.проектов ЭЭ'!$K$3:$K$308,$C99)</f>
        <v>0</v>
      </c>
      <c r="L99" s="63">
        <f>SUMIFS('Перечень инв.проектов ЭЭ'!U$3:U$308,'Перечень инв.проектов ЭЭ'!$B$3:$B$308,$B$87,'Перечень инв.проектов ЭЭ'!$C$3:$C$308,$S99,'Перечень инв.проектов ЭЭ'!$K$3:$K$308,$C99)</f>
        <v>0</v>
      </c>
      <c r="M99" s="63">
        <f>SUMIFS('Перечень инв.проектов ЭЭ'!V$3:V$308,'Перечень инв.проектов ЭЭ'!$B$3:$B$308,$B$87,'Перечень инв.проектов ЭЭ'!$C$3:$C$308,$S99,'Перечень инв.проектов ЭЭ'!$K$3:$K$308,$C99)</f>
        <v>0</v>
      </c>
      <c r="N99" s="63">
        <f>SUMIFS('Перечень инв.проектов ЭЭ'!W$3:W$308,'Перечень инв.проектов ЭЭ'!$B$3:$B$308,$B$87,'Перечень инв.проектов ЭЭ'!$C$3:$C$308,$S99,'Перечень инв.проектов ЭЭ'!$K$3:$K$308,$C99)</f>
        <v>0</v>
      </c>
      <c r="O99" s="63">
        <f>SUMIFS('Перечень инв.проектов ЭЭ'!X$3:X$308,'Перечень инв.проектов ЭЭ'!$B$3:$B$308,$B$87,'Перечень инв.проектов ЭЭ'!$C$3:$C$308,$S99,'Перечень инв.проектов ЭЭ'!$K$3:$K$308,$C99)</f>
        <v>0</v>
      </c>
      <c r="P99" s="63">
        <f>SUMIFS('Перечень инв.проектов ЭЭ'!Y$3:Y$308,'Перечень инв.проектов ЭЭ'!$B$3:$B$308,$B$87,'Перечень инв.проектов ЭЭ'!$C$3:$C$308,$S99,'Перечень инв.проектов ЭЭ'!$K$3:$K$308,$C99)</f>
        <v>0</v>
      </c>
      <c r="Q99" s="62">
        <f t="shared" si="47"/>
        <v>0</v>
      </c>
      <c r="R99" s="13"/>
      <c r="S99" s="69" t="s">
        <v>169</v>
      </c>
      <c r="AD99" s="17">
        <f t="shared" si="49"/>
        <v>0</v>
      </c>
    </row>
    <row r="100" spans="2:30" ht="25.5" x14ac:dyDescent="0.2">
      <c r="B100" s="471"/>
      <c r="C100" s="16" t="s">
        <v>166</v>
      </c>
      <c r="D100" s="63">
        <f>SUMIFS('Перечень инв.проектов ЭЭ'!M$3:M$308,'Перечень инв.проектов ЭЭ'!$B$3:$B$308,$B$87,'Перечень инв.проектов ЭЭ'!$C$3:$C$308,$S100,'Перечень инв.проектов ЭЭ'!$K$3:$K$308,$C100)</f>
        <v>0</v>
      </c>
      <c r="E100" s="63">
        <f>SUMIFS('Перечень инв.проектов ЭЭ'!N$3:N$308,'Перечень инв.проектов ЭЭ'!$B$3:$B$308,$B$87,'Перечень инв.проектов ЭЭ'!$C$3:$C$308,$S100,'Перечень инв.проектов ЭЭ'!$K$3:$K$308,$C100)</f>
        <v>0</v>
      </c>
      <c r="F100" s="63">
        <f>SUMIFS('Перечень инв.проектов ЭЭ'!O$3:O$308,'Перечень инв.проектов ЭЭ'!$B$3:$B$308,$B$87,'Перечень инв.проектов ЭЭ'!$C$3:$C$308,$S100,'Перечень инв.проектов ЭЭ'!$K$3:$K$308,$C100)</f>
        <v>0</v>
      </c>
      <c r="G100" s="63">
        <f>SUMIFS('Перечень инв.проектов ЭЭ'!P$3:P$308,'Перечень инв.проектов ЭЭ'!$B$3:$B$308,$B$87,'Перечень инв.проектов ЭЭ'!$C$3:$C$308,$S100,'Перечень инв.проектов ЭЭ'!$K$3:$K$308,$C100)</f>
        <v>0</v>
      </c>
      <c r="H100" s="63">
        <f>SUMIFS('Перечень инв.проектов ЭЭ'!Q$3:Q$308,'Перечень инв.проектов ЭЭ'!$B$3:$B$308,$B$87,'Перечень инв.проектов ЭЭ'!$C$3:$C$308,$S100,'Перечень инв.проектов ЭЭ'!$K$3:$K$308,$C100)</f>
        <v>0</v>
      </c>
      <c r="I100" s="63">
        <f>SUMIFS('Перечень инв.проектов ЭЭ'!R$3:R$308,'Перечень инв.проектов ЭЭ'!$B$3:$B$308,$B$87,'Перечень инв.проектов ЭЭ'!$C$3:$C$308,$S100,'Перечень инв.проектов ЭЭ'!$K$3:$K$308,$C100)</f>
        <v>0</v>
      </c>
      <c r="J100" s="63">
        <f>SUMIFS('Перечень инв.проектов ЭЭ'!S$3:S$308,'Перечень инв.проектов ЭЭ'!$B$3:$B$308,$B$87,'Перечень инв.проектов ЭЭ'!$C$3:$C$308,$S100,'Перечень инв.проектов ЭЭ'!$K$3:$K$308,$C100)</f>
        <v>0</v>
      </c>
      <c r="K100" s="63">
        <f>SUMIFS('Перечень инв.проектов ЭЭ'!T$3:T$308,'Перечень инв.проектов ЭЭ'!$B$3:$B$308,$B$87,'Перечень инв.проектов ЭЭ'!$C$3:$C$308,$S100,'Перечень инв.проектов ЭЭ'!$K$3:$K$308,$C100)</f>
        <v>0</v>
      </c>
      <c r="L100" s="63">
        <f>SUMIFS('Перечень инв.проектов ЭЭ'!U$3:U$308,'Перечень инв.проектов ЭЭ'!$B$3:$B$308,$B$87,'Перечень инв.проектов ЭЭ'!$C$3:$C$308,$S100,'Перечень инв.проектов ЭЭ'!$K$3:$K$308,$C100)</f>
        <v>0</v>
      </c>
      <c r="M100" s="63">
        <f>SUMIFS('Перечень инв.проектов ЭЭ'!V$3:V$308,'Перечень инв.проектов ЭЭ'!$B$3:$B$308,$B$87,'Перечень инв.проектов ЭЭ'!$C$3:$C$308,$S100,'Перечень инв.проектов ЭЭ'!$K$3:$K$308,$C100)</f>
        <v>0</v>
      </c>
      <c r="N100" s="63">
        <f>SUMIFS('Перечень инв.проектов ЭЭ'!W$3:W$308,'Перечень инв.проектов ЭЭ'!$B$3:$B$308,$B$87,'Перечень инв.проектов ЭЭ'!$C$3:$C$308,$S100,'Перечень инв.проектов ЭЭ'!$K$3:$K$308,$C100)</f>
        <v>0</v>
      </c>
      <c r="O100" s="63">
        <f>SUMIFS('Перечень инв.проектов ЭЭ'!X$3:X$308,'Перечень инв.проектов ЭЭ'!$B$3:$B$308,$B$87,'Перечень инв.проектов ЭЭ'!$C$3:$C$308,$S100,'Перечень инв.проектов ЭЭ'!$K$3:$K$308,$C100)</f>
        <v>0</v>
      </c>
      <c r="P100" s="63">
        <f>SUMIFS('Перечень инв.проектов ЭЭ'!Y$3:Y$308,'Перечень инв.проектов ЭЭ'!$B$3:$B$308,$B$87,'Перечень инв.проектов ЭЭ'!$C$3:$C$308,$S100,'Перечень инв.проектов ЭЭ'!$K$3:$K$308,$C100)</f>
        <v>0</v>
      </c>
      <c r="Q100" s="62">
        <f t="shared" si="47"/>
        <v>0</v>
      </c>
      <c r="R100" s="13"/>
      <c r="S100" s="69" t="s">
        <v>169</v>
      </c>
      <c r="AD100" s="17">
        <f t="shared" si="49"/>
        <v>0</v>
      </c>
    </row>
    <row r="101" spans="2:30" x14ac:dyDescent="0.2">
      <c r="B101" s="471"/>
      <c r="C101" s="16" t="s">
        <v>155</v>
      </c>
      <c r="D101" s="63">
        <f>SUMIFS('Перечень инв.проектов ЭЭ'!M$3:M$308,'Перечень инв.проектов ЭЭ'!$B$3:$B$308,$B$87,'Перечень инв.проектов ЭЭ'!$C$3:$C$308,$S101,'Перечень инв.проектов ЭЭ'!$K$3:$K$308,$C101)</f>
        <v>0</v>
      </c>
      <c r="E101" s="63">
        <f>SUMIFS('Перечень инв.проектов ЭЭ'!N$3:N$308,'Перечень инв.проектов ЭЭ'!$B$3:$B$308,$B$87,'Перечень инв.проектов ЭЭ'!$C$3:$C$308,$S101,'Перечень инв.проектов ЭЭ'!$K$3:$K$308,$C101)</f>
        <v>0</v>
      </c>
      <c r="F101" s="63">
        <f>SUMIFS('Перечень инв.проектов ЭЭ'!O$3:O$308,'Перечень инв.проектов ЭЭ'!$B$3:$B$308,$B$87,'Перечень инв.проектов ЭЭ'!$C$3:$C$308,$S101,'Перечень инв.проектов ЭЭ'!$K$3:$K$308,$C101)</f>
        <v>0</v>
      </c>
      <c r="G101" s="63">
        <f>SUMIFS('Перечень инв.проектов ЭЭ'!P$3:P$308,'Перечень инв.проектов ЭЭ'!$B$3:$B$308,$B$87,'Перечень инв.проектов ЭЭ'!$C$3:$C$308,$S101,'Перечень инв.проектов ЭЭ'!$K$3:$K$308,$C101)</f>
        <v>0</v>
      </c>
      <c r="H101" s="63">
        <f>SUMIFS('Перечень инв.проектов ЭЭ'!Q$3:Q$308,'Перечень инв.проектов ЭЭ'!$B$3:$B$308,$B$87,'Перечень инв.проектов ЭЭ'!$C$3:$C$308,$S101,'Перечень инв.проектов ЭЭ'!$K$3:$K$308,$C101)</f>
        <v>0</v>
      </c>
      <c r="I101" s="63">
        <f>SUMIFS('Перечень инв.проектов ЭЭ'!R$3:R$308,'Перечень инв.проектов ЭЭ'!$B$3:$B$308,$B$87,'Перечень инв.проектов ЭЭ'!$C$3:$C$308,$S101,'Перечень инв.проектов ЭЭ'!$K$3:$K$308,$C101)</f>
        <v>0</v>
      </c>
      <c r="J101" s="63">
        <f>SUMIFS('Перечень инв.проектов ЭЭ'!S$3:S$308,'Перечень инв.проектов ЭЭ'!$B$3:$B$308,$B$87,'Перечень инв.проектов ЭЭ'!$C$3:$C$308,$S101,'Перечень инв.проектов ЭЭ'!$K$3:$K$308,$C101)</f>
        <v>0</v>
      </c>
      <c r="K101" s="63">
        <f>SUMIFS('Перечень инв.проектов ЭЭ'!T$3:T$308,'Перечень инв.проектов ЭЭ'!$B$3:$B$308,$B$87,'Перечень инв.проектов ЭЭ'!$C$3:$C$308,$S101,'Перечень инв.проектов ЭЭ'!$K$3:$K$308,$C101)</f>
        <v>0</v>
      </c>
      <c r="L101" s="63">
        <f>SUMIFS('Перечень инв.проектов ЭЭ'!U$3:U$308,'Перечень инв.проектов ЭЭ'!$B$3:$B$308,$B$87,'Перечень инв.проектов ЭЭ'!$C$3:$C$308,$S101,'Перечень инв.проектов ЭЭ'!$K$3:$K$308,$C101)</f>
        <v>0</v>
      </c>
      <c r="M101" s="63">
        <f>SUMIFS('Перечень инв.проектов ЭЭ'!V$3:V$308,'Перечень инв.проектов ЭЭ'!$B$3:$B$308,$B$87,'Перечень инв.проектов ЭЭ'!$C$3:$C$308,$S101,'Перечень инв.проектов ЭЭ'!$K$3:$K$308,$C101)</f>
        <v>0</v>
      </c>
      <c r="N101" s="63">
        <f>SUMIFS('Перечень инв.проектов ЭЭ'!W$3:W$308,'Перечень инв.проектов ЭЭ'!$B$3:$B$308,$B$87,'Перечень инв.проектов ЭЭ'!$C$3:$C$308,$S101,'Перечень инв.проектов ЭЭ'!$K$3:$K$308,$C101)</f>
        <v>0</v>
      </c>
      <c r="O101" s="63">
        <f>SUMIFS('Перечень инв.проектов ЭЭ'!X$3:X$308,'Перечень инв.проектов ЭЭ'!$B$3:$B$308,$B$87,'Перечень инв.проектов ЭЭ'!$C$3:$C$308,$S101,'Перечень инв.проектов ЭЭ'!$K$3:$K$308,$C101)</f>
        <v>0</v>
      </c>
      <c r="P101" s="63">
        <f>SUMIFS('Перечень инв.проектов ЭЭ'!Y$3:Y$308,'Перечень инв.проектов ЭЭ'!$B$3:$B$308,$B$87,'Перечень инв.проектов ЭЭ'!$C$3:$C$308,$S101,'Перечень инв.проектов ЭЭ'!$K$3:$K$308,$C101)</f>
        <v>0</v>
      </c>
      <c r="Q101" s="62">
        <f t="shared" si="47"/>
        <v>0</v>
      </c>
      <c r="R101" s="13"/>
      <c r="S101" s="69" t="s">
        <v>169</v>
      </c>
      <c r="AD101" s="17">
        <f t="shared" si="49"/>
        <v>0</v>
      </c>
    </row>
    <row r="102" spans="2:30" x14ac:dyDescent="0.2">
      <c r="B102" s="471"/>
      <c r="C102" s="16" t="s">
        <v>310</v>
      </c>
      <c r="D102" s="63">
        <f>SUMIFS('Перечень инв.проектов ЭЭ'!M$3:M$308,'Перечень инв.проектов ЭЭ'!$B$3:$B$308,$B$87,'Перечень инв.проектов ЭЭ'!$C$3:$C$308,$S102,'Перечень инв.проектов ЭЭ'!$K$3:$K$308,$C102)</f>
        <v>0</v>
      </c>
      <c r="E102" s="63">
        <f>SUMIFS('Перечень инв.проектов ЭЭ'!N$3:N$308,'Перечень инв.проектов ЭЭ'!$B$3:$B$308,$B$87,'Перечень инв.проектов ЭЭ'!$C$3:$C$308,$S102,'Перечень инв.проектов ЭЭ'!$K$3:$K$308,$C102)</f>
        <v>0</v>
      </c>
      <c r="F102" s="63">
        <f>SUMIFS('Перечень инв.проектов ЭЭ'!O$3:O$308,'Перечень инв.проектов ЭЭ'!$B$3:$B$308,$B$87,'Перечень инв.проектов ЭЭ'!$C$3:$C$308,$S102,'Перечень инв.проектов ЭЭ'!$K$3:$K$308,$C102)</f>
        <v>0</v>
      </c>
      <c r="G102" s="63">
        <f>SUMIFS('Перечень инв.проектов ЭЭ'!P$3:P$308,'Перечень инв.проектов ЭЭ'!$B$3:$B$308,$B$87,'Перечень инв.проектов ЭЭ'!$C$3:$C$308,$S102,'Перечень инв.проектов ЭЭ'!$K$3:$K$308,$C102)</f>
        <v>0</v>
      </c>
      <c r="H102" s="63">
        <f>SUMIFS('Перечень инв.проектов ЭЭ'!Q$3:Q$308,'Перечень инв.проектов ЭЭ'!$B$3:$B$308,$B$87,'Перечень инв.проектов ЭЭ'!$C$3:$C$308,$S102,'Перечень инв.проектов ЭЭ'!$K$3:$K$308,$C102)</f>
        <v>0</v>
      </c>
      <c r="I102" s="63">
        <f>SUMIFS('Перечень инв.проектов ЭЭ'!R$3:R$308,'Перечень инв.проектов ЭЭ'!$B$3:$B$308,$B$87,'Перечень инв.проектов ЭЭ'!$C$3:$C$308,$S102,'Перечень инв.проектов ЭЭ'!$K$3:$K$308,$C102)</f>
        <v>0</v>
      </c>
      <c r="J102" s="63">
        <f>SUMIFS('Перечень инв.проектов ЭЭ'!S$3:S$308,'Перечень инв.проектов ЭЭ'!$B$3:$B$308,$B$87,'Перечень инв.проектов ЭЭ'!$C$3:$C$308,$S102,'Перечень инв.проектов ЭЭ'!$K$3:$K$308,$C102)</f>
        <v>0</v>
      </c>
      <c r="K102" s="63">
        <f>SUMIFS('Перечень инв.проектов ЭЭ'!T$3:T$308,'Перечень инв.проектов ЭЭ'!$B$3:$B$308,$B$87,'Перечень инв.проектов ЭЭ'!$C$3:$C$308,$S102,'Перечень инв.проектов ЭЭ'!$K$3:$K$308,$C102)</f>
        <v>0</v>
      </c>
      <c r="L102" s="63">
        <f>SUMIFS('Перечень инв.проектов ЭЭ'!U$3:U$308,'Перечень инв.проектов ЭЭ'!$B$3:$B$308,$B$87,'Перечень инв.проектов ЭЭ'!$C$3:$C$308,$S102,'Перечень инв.проектов ЭЭ'!$K$3:$K$308,$C102)</f>
        <v>0</v>
      </c>
      <c r="M102" s="63">
        <f>SUMIFS('Перечень инв.проектов ЭЭ'!V$3:V$308,'Перечень инв.проектов ЭЭ'!$B$3:$B$308,$B$87,'Перечень инв.проектов ЭЭ'!$C$3:$C$308,$S102,'Перечень инв.проектов ЭЭ'!$K$3:$K$308,$C102)</f>
        <v>0</v>
      </c>
      <c r="N102" s="63">
        <f>SUMIFS('Перечень инв.проектов ЭЭ'!W$3:W$308,'Перечень инв.проектов ЭЭ'!$B$3:$B$308,$B$87,'Перечень инв.проектов ЭЭ'!$C$3:$C$308,$S102,'Перечень инв.проектов ЭЭ'!$K$3:$K$308,$C102)</f>
        <v>0</v>
      </c>
      <c r="O102" s="63">
        <f>SUMIFS('Перечень инв.проектов ЭЭ'!X$3:X$308,'Перечень инв.проектов ЭЭ'!$B$3:$B$308,$B$87,'Перечень инв.проектов ЭЭ'!$C$3:$C$308,$S102,'Перечень инв.проектов ЭЭ'!$K$3:$K$308,$C102)</f>
        <v>0</v>
      </c>
      <c r="P102" s="63">
        <f>SUMIFS('Перечень инв.проектов ЭЭ'!Y$3:Y$308,'Перечень инв.проектов ЭЭ'!$B$3:$B$308,$B$87,'Перечень инв.проектов ЭЭ'!$C$3:$C$308,$S102,'Перечень инв.проектов ЭЭ'!$K$3:$K$308,$C102)</f>
        <v>0</v>
      </c>
      <c r="Q102" s="62">
        <f t="shared" si="47"/>
        <v>0</v>
      </c>
      <c r="R102" s="13"/>
      <c r="S102" s="69" t="s">
        <v>169</v>
      </c>
      <c r="AD102" s="17">
        <f t="shared" si="49"/>
        <v>0</v>
      </c>
    </row>
    <row r="103" spans="2:30" ht="13.15" customHeight="1" x14ac:dyDescent="0.2">
      <c r="B103" s="471" t="s">
        <v>168</v>
      </c>
      <c r="C103" s="73" t="s">
        <v>216</v>
      </c>
      <c r="D103" s="77">
        <f t="shared" ref="D103:G103" si="56">SUM(D104:D107)</f>
        <v>0</v>
      </c>
      <c r="E103" s="77">
        <f t="shared" si="56"/>
        <v>0</v>
      </c>
      <c r="F103" s="77">
        <f t="shared" si="56"/>
        <v>0</v>
      </c>
      <c r="G103" s="77">
        <f t="shared" si="56"/>
        <v>0</v>
      </c>
      <c r="H103" s="77">
        <f t="shared" ref="H103:P103" si="57">SUM(H104:H107)</f>
        <v>0</v>
      </c>
      <c r="I103" s="77">
        <f t="shared" si="57"/>
        <v>0</v>
      </c>
      <c r="J103" s="77">
        <f t="shared" si="57"/>
        <v>0</v>
      </c>
      <c r="K103" s="77">
        <f t="shared" si="57"/>
        <v>0</v>
      </c>
      <c r="L103" s="77">
        <f t="shared" si="57"/>
        <v>0</v>
      </c>
      <c r="M103" s="77">
        <f t="shared" si="57"/>
        <v>0</v>
      </c>
      <c r="N103" s="77">
        <f t="shared" si="57"/>
        <v>0</v>
      </c>
      <c r="O103" s="77">
        <f t="shared" si="57"/>
        <v>0</v>
      </c>
      <c r="P103" s="77">
        <f t="shared" si="57"/>
        <v>0</v>
      </c>
      <c r="Q103" s="62">
        <f t="shared" si="47"/>
        <v>0</v>
      </c>
      <c r="R103" s="13"/>
      <c r="S103" s="69"/>
      <c r="AD103" s="17">
        <f t="shared" si="49"/>
        <v>0</v>
      </c>
    </row>
    <row r="104" spans="2:30" x14ac:dyDescent="0.2">
      <c r="B104" s="471"/>
      <c r="C104" s="10" t="s">
        <v>163</v>
      </c>
      <c r="D104" s="63">
        <f>SUMIFS('Перечень инв.проектов ЭЭ'!M$3:M$308,'Перечень инв.проектов ЭЭ'!$B$3:$B$308,$B$87,'Перечень инв.проектов ЭЭ'!$C$3:$C$308,$S104,'Перечень инв.проектов ЭЭ'!$K$3:$K$308,$C104)</f>
        <v>0</v>
      </c>
      <c r="E104" s="63">
        <f>SUMIFS('Перечень инв.проектов ЭЭ'!N$3:N$308,'Перечень инв.проектов ЭЭ'!$B$3:$B$308,$B$87,'Перечень инв.проектов ЭЭ'!$C$3:$C$308,$S104,'Перечень инв.проектов ЭЭ'!$K$3:$K$308,$C104)</f>
        <v>0</v>
      </c>
      <c r="F104" s="63">
        <f>SUMIFS('Перечень инв.проектов ЭЭ'!O$3:O$308,'Перечень инв.проектов ЭЭ'!$B$3:$B$308,$B$87,'Перечень инв.проектов ЭЭ'!$C$3:$C$308,$S104,'Перечень инв.проектов ЭЭ'!$K$3:$K$308,$C104)</f>
        <v>0</v>
      </c>
      <c r="G104" s="63">
        <f>SUMIFS('Перечень инв.проектов ЭЭ'!P$3:P$308,'Перечень инв.проектов ЭЭ'!$B$3:$B$308,$B$87,'Перечень инв.проектов ЭЭ'!$C$3:$C$308,$S104,'Перечень инв.проектов ЭЭ'!$K$3:$K$308,$C104)</f>
        <v>0</v>
      </c>
      <c r="H104" s="63">
        <f>SUMIFS('Перечень инв.проектов ЭЭ'!Q$3:Q$308,'Перечень инв.проектов ЭЭ'!$B$3:$B$308,$B$87,'Перечень инв.проектов ЭЭ'!$C$3:$C$308,$S104,'Перечень инв.проектов ЭЭ'!$K$3:$K$308,$C104)</f>
        <v>0</v>
      </c>
      <c r="I104" s="63">
        <f>SUMIFS('Перечень инв.проектов ЭЭ'!R$3:R$308,'Перечень инв.проектов ЭЭ'!$B$3:$B$308,$B$87,'Перечень инв.проектов ЭЭ'!$C$3:$C$308,$S104,'Перечень инв.проектов ЭЭ'!$K$3:$K$308,$C104)</f>
        <v>0</v>
      </c>
      <c r="J104" s="63">
        <f>SUMIFS('Перечень инв.проектов ЭЭ'!S$3:S$308,'Перечень инв.проектов ЭЭ'!$B$3:$B$308,$B$87,'Перечень инв.проектов ЭЭ'!$C$3:$C$308,$S104,'Перечень инв.проектов ЭЭ'!$K$3:$K$308,$C104)</f>
        <v>0</v>
      </c>
      <c r="K104" s="63">
        <f>SUMIFS('Перечень инв.проектов ЭЭ'!T$3:T$308,'Перечень инв.проектов ЭЭ'!$B$3:$B$308,$B$87,'Перечень инв.проектов ЭЭ'!$C$3:$C$308,$S104,'Перечень инв.проектов ЭЭ'!$K$3:$K$308,$C104)</f>
        <v>0</v>
      </c>
      <c r="L104" s="63">
        <f>SUMIFS('Перечень инв.проектов ЭЭ'!U$3:U$308,'Перечень инв.проектов ЭЭ'!$B$3:$B$308,$B$87,'Перечень инв.проектов ЭЭ'!$C$3:$C$308,$S104,'Перечень инв.проектов ЭЭ'!$K$3:$K$308,$C104)</f>
        <v>0</v>
      </c>
      <c r="M104" s="63">
        <f>SUMIFS('Перечень инв.проектов ЭЭ'!V$3:V$308,'Перечень инв.проектов ЭЭ'!$B$3:$B$308,$B$87,'Перечень инв.проектов ЭЭ'!$C$3:$C$308,$S104,'Перечень инв.проектов ЭЭ'!$K$3:$K$308,$C104)</f>
        <v>0</v>
      </c>
      <c r="N104" s="63">
        <f>SUMIFS('Перечень инв.проектов ЭЭ'!W$3:W$308,'Перечень инв.проектов ЭЭ'!$B$3:$B$308,$B$87,'Перечень инв.проектов ЭЭ'!$C$3:$C$308,$S104,'Перечень инв.проектов ЭЭ'!$K$3:$K$308,$C104)</f>
        <v>0</v>
      </c>
      <c r="O104" s="63">
        <f>SUMIFS('Перечень инв.проектов ЭЭ'!X$3:X$308,'Перечень инв.проектов ЭЭ'!$B$3:$B$308,$B$87,'Перечень инв.проектов ЭЭ'!$C$3:$C$308,$S104,'Перечень инв.проектов ЭЭ'!$K$3:$K$308,$C104)</f>
        <v>0</v>
      </c>
      <c r="P104" s="63">
        <f>SUMIFS('Перечень инв.проектов ЭЭ'!Y$3:Y$308,'Перечень инв.проектов ЭЭ'!$B$3:$B$308,$B$87,'Перечень инв.проектов ЭЭ'!$C$3:$C$308,$S104,'Перечень инв.проектов ЭЭ'!$K$3:$K$308,$C104)</f>
        <v>0</v>
      </c>
      <c r="Q104" s="62">
        <f t="shared" si="47"/>
        <v>0</v>
      </c>
      <c r="R104" s="13"/>
      <c r="S104" s="69" t="s">
        <v>168</v>
      </c>
      <c r="AD104" s="17">
        <f t="shared" si="49"/>
        <v>0</v>
      </c>
    </row>
    <row r="105" spans="2:30" ht="25.5" x14ac:dyDescent="0.2">
      <c r="B105" s="471"/>
      <c r="C105" s="16" t="s">
        <v>166</v>
      </c>
      <c r="D105" s="63">
        <f>SUMIFS('Перечень инв.проектов ЭЭ'!M$3:M$308,'Перечень инв.проектов ЭЭ'!$B$3:$B$308,$B$87,'Перечень инв.проектов ЭЭ'!$C$3:$C$308,$S105,'Перечень инв.проектов ЭЭ'!$K$3:$K$308,$C105)</f>
        <v>0</v>
      </c>
      <c r="E105" s="63">
        <f>SUMIFS('Перечень инв.проектов ЭЭ'!N$3:N$308,'Перечень инв.проектов ЭЭ'!$B$3:$B$308,$B$87,'Перечень инв.проектов ЭЭ'!$C$3:$C$308,$S105,'Перечень инв.проектов ЭЭ'!$K$3:$K$308,$C105)</f>
        <v>0</v>
      </c>
      <c r="F105" s="63">
        <f>SUMIFS('Перечень инв.проектов ЭЭ'!O$3:O$308,'Перечень инв.проектов ЭЭ'!$B$3:$B$308,$B$87,'Перечень инв.проектов ЭЭ'!$C$3:$C$308,$S105,'Перечень инв.проектов ЭЭ'!$K$3:$K$308,$C105)</f>
        <v>0</v>
      </c>
      <c r="G105" s="63">
        <f>SUMIFS('Перечень инв.проектов ЭЭ'!P$3:P$308,'Перечень инв.проектов ЭЭ'!$B$3:$B$308,$B$87,'Перечень инв.проектов ЭЭ'!$C$3:$C$308,$S105,'Перечень инв.проектов ЭЭ'!$K$3:$K$308,$C105)</f>
        <v>0</v>
      </c>
      <c r="H105" s="63">
        <f>SUMIFS('Перечень инв.проектов ЭЭ'!Q$3:Q$308,'Перечень инв.проектов ЭЭ'!$B$3:$B$308,$B$87,'Перечень инв.проектов ЭЭ'!$C$3:$C$308,$S105,'Перечень инв.проектов ЭЭ'!$K$3:$K$308,$C105)</f>
        <v>0</v>
      </c>
      <c r="I105" s="63">
        <f>SUMIFS('Перечень инв.проектов ЭЭ'!R$3:R$308,'Перечень инв.проектов ЭЭ'!$B$3:$B$308,$B$87,'Перечень инв.проектов ЭЭ'!$C$3:$C$308,$S105,'Перечень инв.проектов ЭЭ'!$K$3:$K$308,$C105)</f>
        <v>0</v>
      </c>
      <c r="J105" s="63">
        <f>SUMIFS('Перечень инв.проектов ЭЭ'!S$3:S$308,'Перечень инв.проектов ЭЭ'!$B$3:$B$308,$B$87,'Перечень инв.проектов ЭЭ'!$C$3:$C$308,$S105,'Перечень инв.проектов ЭЭ'!$K$3:$K$308,$C105)</f>
        <v>0</v>
      </c>
      <c r="K105" s="63">
        <f>SUMIFS('Перечень инв.проектов ЭЭ'!T$3:T$308,'Перечень инв.проектов ЭЭ'!$B$3:$B$308,$B$87,'Перечень инв.проектов ЭЭ'!$C$3:$C$308,$S105,'Перечень инв.проектов ЭЭ'!$K$3:$K$308,$C105)</f>
        <v>0</v>
      </c>
      <c r="L105" s="63">
        <f>SUMIFS('Перечень инв.проектов ЭЭ'!U$3:U$308,'Перечень инв.проектов ЭЭ'!$B$3:$B$308,$B$87,'Перечень инв.проектов ЭЭ'!$C$3:$C$308,$S105,'Перечень инв.проектов ЭЭ'!$K$3:$K$308,$C105)</f>
        <v>0</v>
      </c>
      <c r="M105" s="63">
        <f>SUMIFS('Перечень инв.проектов ЭЭ'!V$3:V$308,'Перечень инв.проектов ЭЭ'!$B$3:$B$308,$B$87,'Перечень инв.проектов ЭЭ'!$C$3:$C$308,$S105,'Перечень инв.проектов ЭЭ'!$K$3:$K$308,$C105)</f>
        <v>0</v>
      </c>
      <c r="N105" s="63">
        <f>SUMIFS('Перечень инв.проектов ЭЭ'!W$3:W$308,'Перечень инв.проектов ЭЭ'!$B$3:$B$308,$B$87,'Перечень инв.проектов ЭЭ'!$C$3:$C$308,$S105,'Перечень инв.проектов ЭЭ'!$K$3:$K$308,$C105)</f>
        <v>0</v>
      </c>
      <c r="O105" s="63">
        <f>SUMIFS('Перечень инв.проектов ЭЭ'!X$3:X$308,'Перечень инв.проектов ЭЭ'!$B$3:$B$308,$B$87,'Перечень инв.проектов ЭЭ'!$C$3:$C$308,$S105,'Перечень инв.проектов ЭЭ'!$K$3:$K$308,$C105)</f>
        <v>0</v>
      </c>
      <c r="P105" s="63">
        <f>SUMIFS('Перечень инв.проектов ЭЭ'!Y$3:Y$308,'Перечень инв.проектов ЭЭ'!$B$3:$B$308,$B$87,'Перечень инв.проектов ЭЭ'!$C$3:$C$308,$S105,'Перечень инв.проектов ЭЭ'!$K$3:$K$308,$C105)</f>
        <v>0</v>
      </c>
      <c r="Q105" s="62">
        <f t="shared" si="47"/>
        <v>0</v>
      </c>
      <c r="R105" s="13"/>
      <c r="S105" s="69" t="s">
        <v>168</v>
      </c>
      <c r="AD105" s="17">
        <f t="shared" si="49"/>
        <v>0</v>
      </c>
    </row>
    <row r="106" spans="2:30" x14ac:dyDescent="0.2">
      <c r="B106" s="471"/>
      <c r="C106" s="16" t="s">
        <v>155</v>
      </c>
      <c r="D106" s="63">
        <f>SUMIFS('Перечень инв.проектов ЭЭ'!M$3:M$308,'Перечень инв.проектов ЭЭ'!$B$3:$B$308,$B$87,'Перечень инв.проектов ЭЭ'!$C$3:$C$308,$S106,'Перечень инв.проектов ЭЭ'!$K$3:$K$308,$C106)</f>
        <v>0</v>
      </c>
      <c r="E106" s="63">
        <f>SUMIFS('Перечень инв.проектов ЭЭ'!N$3:N$308,'Перечень инв.проектов ЭЭ'!$B$3:$B$308,$B$87,'Перечень инв.проектов ЭЭ'!$C$3:$C$308,$S106,'Перечень инв.проектов ЭЭ'!$K$3:$K$308,$C106)</f>
        <v>0</v>
      </c>
      <c r="F106" s="63">
        <f>SUMIFS('Перечень инв.проектов ЭЭ'!O$3:O$308,'Перечень инв.проектов ЭЭ'!$B$3:$B$308,$B$87,'Перечень инв.проектов ЭЭ'!$C$3:$C$308,$S106,'Перечень инв.проектов ЭЭ'!$K$3:$K$308,$C106)</f>
        <v>0</v>
      </c>
      <c r="G106" s="63">
        <f>SUMIFS('Перечень инв.проектов ЭЭ'!P$3:P$308,'Перечень инв.проектов ЭЭ'!$B$3:$B$308,$B$87,'Перечень инв.проектов ЭЭ'!$C$3:$C$308,$S106,'Перечень инв.проектов ЭЭ'!$K$3:$K$308,$C106)</f>
        <v>0</v>
      </c>
      <c r="H106" s="63">
        <f>SUMIFS('Перечень инв.проектов ЭЭ'!Q$3:Q$308,'Перечень инв.проектов ЭЭ'!$B$3:$B$308,$B$87,'Перечень инв.проектов ЭЭ'!$C$3:$C$308,$S106,'Перечень инв.проектов ЭЭ'!$K$3:$K$308,$C106)</f>
        <v>0</v>
      </c>
      <c r="I106" s="63">
        <f>SUMIFS('Перечень инв.проектов ЭЭ'!R$3:R$308,'Перечень инв.проектов ЭЭ'!$B$3:$B$308,$B$87,'Перечень инв.проектов ЭЭ'!$C$3:$C$308,$S106,'Перечень инв.проектов ЭЭ'!$K$3:$K$308,$C106)</f>
        <v>0</v>
      </c>
      <c r="J106" s="63">
        <f>SUMIFS('Перечень инв.проектов ЭЭ'!S$3:S$308,'Перечень инв.проектов ЭЭ'!$B$3:$B$308,$B$87,'Перечень инв.проектов ЭЭ'!$C$3:$C$308,$S106,'Перечень инв.проектов ЭЭ'!$K$3:$K$308,$C106)</f>
        <v>0</v>
      </c>
      <c r="K106" s="63">
        <f>SUMIFS('Перечень инв.проектов ЭЭ'!T$3:T$308,'Перечень инв.проектов ЭЭ'!$B$3:$B$308,$B$87,'Перечень инв.проектов ЭЭ'!$C$3:$C$308,$S106,'Перечень инв.проектов ЭЭ'!$K$3:$K$308,$C106)</f>
        <v>0</v>
      </c>
      <c r="L106" s="63">
        <f>SUMIFS('Перечень инв.проектов ЭЭ'!U$3:U$308,'Перечень инв.проектов ЭЭ'!$B$3:$B$308,$B$87,'Перечень инв.проектов ЭЭ'!$C$3:$C$308,$S106,'Перечень инв.проектов ЭЭ'!$K$3:$K$308,$C106)</f>
        <v>0</v>
      </c>
      <c r="M106" s="63">
        <f>SUMIFS('Перечень инв.проектов ЭЭ'!V$3:V$308,'Перечень инв.проектов ЭЭ'!$B$3:$B$308,$B$87,'Перечень инв.проектов ЭЭ'!$C$3:$C$308,$S106,'Перечень инв.проектов ЭЭ'!$K$3:$K$308,$C106)</f>
        <v>0</v>
      </c>
      <c r="N106" s="63">
        <f>SUMIFS('Перечень инв.проектов ЭЭ'!W$3:W$308,'Перечень инв.проектов ЭЭ'!$B$3:$B$308,$B$87,'Перечень инв.проектов ЭЭ'!$C$3:$C$308,$S106,'Перечень инв.проектов ЭЭ'!$K$3:$K$308,$C106)</f>
        <v>0</v>
      </c>
      <c r="O106" s="63">
        <f>SUMIFS('Перечень инв.проектов ЭЭ'!X$3:X$308,'Перечень инв.проектов ЭЭ'!$B$3:$B$308,$B$87,'Перечень инв.проектов ЭЭ'!$C$3:$C$308,$S106,'Перечень инв.проектов ЭЭ'!$K$3:$K$308,$C106)</f>
        <v>0</v>
      </c>
      <c r="P106" s="63">
        <f>SUMIFS('Перечень инв.проектов ЭЭ'!Y$3:Y$308,'Перечень инв.проектов ЭЭ'!$B$3:$B$308,$B$87,'Перечень инв.проектов ЭЭ'!$C$3:$C$308,$S106,'Перечень инв.проектов ЭЭ'!$K$3:$K$308,$C106)</f>
        <v>0</v>
      </c>
      <c r="Q106" s="62">
        <f t="shared" si="47"/>
        <v>0</v>
      </c>
      <c r="R106" s="13"/>
      <c r="S106" s="69" t="s">
        <v>168</v>
      </c>
      <c r="AD106" s="17">
        <f t="shared" si="49"/>
        <v>0</v>
      </c>
    </row>
    <row r="107" spans="2:30" x14ac:dyDescent="0.2">
      <c r="B107" s="471"/>
      <c r="C107" s="16" t="s">
        <v>310</v>
      </c>
      <c r="D107" s="63">
        <f>SUMIFS('Перечень инв.проектов ЭЭ'!M$3:M$308,'Перечень инв.проектов ЭЭ'!$B$3:$B$308,$B$87,'Перечень инв.проектов ЭЭ'!$C$3:$C$308,$S107,'Перечень инв.проектов ЭЭ'!$K$3:$K$308,$C107)</f>
        <v>0</v>
      </c>
      <c r="E107" s="63">
        <f>SUMIFS('Перечень инв.проектов ЭЭ'!N$3:N$308,'Перечень инв.проектов ЭЭ'!$B$3:$B$308,$B$87,'Перечень инв.проектов ЭЭ'!$C$3:$C$308,$S107,'Перечень инв.проектов ЭЭ'!$K$3:$K$308,$C107)</f>
        <v>0</v>
      </c>
      <c r="F107" s="63">
        <f>SUMIFS('Перечень инв.проектов ЭЭ'!O$3:O$308,'Перечень инв.проектов ЭЭ'!$B$3:$B$308,$B$87,'Перечень инв.проектов ЭЭ'!$C$3:$C$308,$S107,'Перечень инв.проектов ЭЭ'!$K$3:$K$308,$C107)</f>
        <v>0</v>
      </c>
      <c r="G107" s="63">
        <f>SUMIFS('Перечень инв.проектов ЭЭ'!P$3:P$308,'Перечень инв.проектов ЭЭ'!$B$3:$B$308,$B$87,'Перечень инв.проектов ЭЭ'!$C$3:$C$308,$S107,'Перечень инв.проектов ЭЭ'!$K$3:$K$308,$C107)</f>
        <v>0</v>
      </c>
      <c r="H107" s="63">
        <f>SUMIFS('Перечень инв.проектов ЭЭ'!Q$3:Q$308,'Перечень инв.проектов ЭЭ'!$B$3:$B$308,$B$87,'Перечень инв.проектов ЭЭ'!$C$3:$C$308,$S107,'Перечень инв.проектов ЭЭ'!$K$3:$K$308,$C107)</f>
        <v>0</v>
      </c>
      <c r="I107" s="63">
        <f>SUMIFS('Перечень инв.проектов ЭЭ'!R$3:R$308,'Перечень инв.проектов ЭЭ'!$B$3:$B$308,$B$87,'Перечень инв.проектов ЭЭ'!$C$3:$C$308,$S107,'Перечень инв.проектов ЭЭ'!$K$3:$K$308,$C107)</f>
        <v>0</v>
      </c>
      <c r="J107" s="63">
        <f>SUMIFS('Перечень инв.проектов ЭЭ'!S$3:S$308,'Перечень инв.проектов ЭЭ'!$B$3:$B$308,$B$87,'Перечень инв.проектов ЭЭ'!$C$3:$C$308,$S107,'Перечень инв.проектов ЭЭ'!$K$3:$K$308,$C107)</f>
        <v>0</v>
      </c>
      <c r="K107" s="63">
        <f>SUMIFS('Перечень инв.проектов ЭЭ'!T$3:T$308,'Перечень инв.проектов ЭЭ'!$B$3:$B$308,$B$87,'Перечень инв.проектов ЭЭ'!$C$3:$C$308,$S107,'Перечень инв.проектов ЭЭ'!$K$3:$K$308,$C107)</f>
        <v>0</v>
      </c>
      <c r="L107" s="63">
        <f>SUMIFS('Перечень инв.проектов ЭЭ'!U$3:U$308,'Перечень инв.проектов ЭЭ'!$B$3:$B$308,$B$87,'Перечень инв.проектов ЭЭ'!$C$3:$C$308,$S107,'Перечень инв.проектов ЭЭ'!$K$3:$K$308,$C107)</f>
        <v>0</v>
      </c>
      <c r="M107" s="63">
        <f>SUMIFS('Перечень инв.проектов ЭЭ'!V$3:V$308,'Перечень инв.проектов ЭЭ'!$B$3:$B$308,$B$87,'Перечень инв.проектов ЭЭ'!$C$3:$C$308,$S107,'Перечень инв.проектов ЭЭ'!$K$3:$K$308,$C107)</f>
        <v>0</v>
      </c>
      <c r="N107" s="63">
        <f>SUMIFS('Перечень инв.проектов ЭЭ'!W$3:W$308,'Перечень инв.проектов ЭЭ'!$B$3:$B$308,$B$87,'Перечень инв.проектов ЭЭ'!$C$3:$C$308,$S107,'Перечень инв.проектов ЭЭ'!$K$3:$K$308,$C107)</f>
        <v>0</v>
      </c>
      <c r="O107" s="63">
        <f>SUMIFS('Перечень инв.проектов ЭЭ'!X$3:X$308,'Перечень инв.проектов ЭЭ'!$B$3:$B$308,$B$87,'Перечень инв.проектов ЭЭ'!$C$3:$C$308,$S107,'Перечень инв.проектов ЭЭ'!$K$3:$K$308,$C107)</f>
        <v>0</v>
      </c>
      <c r="P107" s="63">
        <f>SUMIFS('Перечень инв.проектов ЭЭ'!Y$3:Y$308,'Перечень инв.проектов ЭЭ'!$B$3:$B$308,$B$87,'Перечень инв.проектов ЭЭ'!$C$3:$C$308,$S107,'Перечень инв.проектов ЭЭ'!$K$3:$K$308,$C107)</f>
        <v>0</v>
      </c>
      <c r="Q107" s="62">
        <f t="shared" si="47"/>
        <v>0</v>
      </c>
      <c r="R107" s="13"/>
      <c r="S107" s="69" t="s">
        <v>168</v>
      </c>
      <c r="AD107" s="17">
        <f t="shared" si="49"/>
        <v>0</v>
      </c>
    </row>
    <row r="108" spans="2:30" x14ac:dyDescent="0.2">
      <c r="B108" s="471" t="s">
        <v>218</v>
      </c>
      <c r="C108" s="73" t="s">
        <v>216</v>
      </c>
      <c r="D108" s="77">
        <f t="shared" ref="D108:G108" si="58">SUM(D109:D111)</f>
        <v>127231.81000000001</v>
      </c>
      <c r="E108" s="77">
        <f t="shared" si="58"/>
        <v>97616.54</v>
      </c>
      <c r="F108" s="77">
        <f t="shared" si="58"/>
        <v>38943.015500000009</v>
      </c>
      <c r="G108" s="77">
        <f t="shared" si="58"/>
        <v>58849.250000000015</v>
      </c>
      <c r="H108" s="77">
        <f t="shared" ref="H108:P108" si="59">SUM(H109:H111)</f>
        <v>42787.846599999997</v>
      </c>
      <c r="I108" s="77">
        <f t="shared" si="59"/>
        <v>9995.9900000000016</v>
      </c>
      <c r="J108" s="77">
        <f t="shared" si="59"/>
        <v>0</v>
      </c>
      <c r="K108" s="77">
        <f t="shared" si="59"/>
        <v>0</v>
      </c>
      <c r="L108" s="77">
        <f t="shared" si="59"/>
        <v>0</v>
      </c>
      <c r="M108" s="77">
        <f t="shared" si="59"/>
        <v>0</v>
      </c>
      <c r="N108" s="77">
        <f t="shared" si="59"/>
        <v>0</v>
      </c>
      <c r="O108" s="77">
        <f t="shared" si="59"/>
        <v>0</v>
      </c>
      <c r="P108" s="77">
        <f t="shared" si="59"/>
        <v>0</v>
      </c>
      <c r="Q108" s="62">
        <f t="shared" si="47"/>
        <v>375424.45209999999</v>
      </c>
      <c r="R108" s="13"/>
      <c r="S108" s="69"/>
      <c r="AD108" s="17">
        <f>Q108</f>
        <v>375424.45209999999</v>
      </c>
    </row>
    <row r="109" spans="2:30" ht="25.5" x14ac:dyDescent="0.2">
      <c r="B109" s="471"/>
      <c r="C109" s="74" t="s">
        <v>222</v>
      </c>
      <c r="D109" s="63">
        <f>SUMIFS('Перечень инв.проектов ЭЭ'!M$3:M$308,'Перечень инв.проектов ЭЭ'!$B$3:$B$308,$B$87,'Перечень инв.проектов ЭЭ'!$D$3:$D$308,$S109)</f>
        <v>0</v>
      </c>
      <c r="E109" s="63">
        <f>SUMIFS('Перечень инв.проектов ЭЭ'!N$3:N$308,'Перечень инв.проектов ЭЭ'!$B$3:$B$308,$B$87,'Перечень инв.проектов ЭЭ'!$D$3:$D$308,$S109)</f>
        <v>0</v>
      </c>
      <c r="F109" s="63">
        <f>SUMIFS('Перечень инв.проектов ЭЭ'!O$3:O$308,'Перечень инв.проектов ЭЭ'!$B$3:$B$308,$B$87,'Перечень инв.проектов ЭЭ'!$D$3:$D$308,$S109)</f>
        <v>0</v>
      </c>
      <c r="G109" s="63">
        <f>SUMIFS('Перечень инв.проектов ЭЭ'!P$3:P$308,'Перечень инв.проектов ЭЭ'!$B$3:$B$308,$B$87,'Перечень инв.проектов ЭЭ'!$D$3:$D$308,$S109)</f>
        <v>0</v>
      </c>
      <c r="H109" s="63">
        <f>SUMIFS('Перечень инв.проектов ЭЭ'!Q$3:Q$308,'Перечень инв.проектов ЭЭ'!$B$3:$B$308,$B$87,'Перечень инв.проектов ЭЭ'!$D$3:$D$308,$S109)</f>
        <v>0</v>
      </c>
      <c r="I109" s="63">
        <f>SUMIFS('Перечень инв.проектов ЭЭ'!R$3:R$308,'Перечень инв.проектов ЭЭ'!$B$3:$B$308,$B$87,'Перечень инв.проектов ЭЭ'!$D$3:$D$308,$S109)</f>
        <v>0</v>
      </c>
      <c r="J109" s="63">
        <f>SUMIFS('Перечень инв.проектов ЭЭ'!S$3:S$308,'Перечень инв.проектов ЭЭ'!$B$3:$B$308,$B$87,'Перечень инв.проектов ЭЭ'!$D$3:$D$308,$S109)</f>
        <v>0</v>
      </c>
      <c r="K109" s="63">
        <f>SUMIFS('Перечень инв.проектов ЭЭ'!T$3:T$308,'Перечень инв.проектов ЭЭ'!$B$3:$B$308,$B$87,'Перечень инв.проектов ЭЭ'!$D$3:$D$308,$S109)</f>
        <v>0</v>
      </c>
      <c r="L109" s="63">
        <f>SUMIFS('Перечень инв.проектов ЭЭ'!U$3:U$308,'Перечень инв.проектов ЭЭ'!$B$3:$B$308,$B$87,'Перечень инв.проектов ЭЭ'!$D$3:$D$308,$S109)</f>
        <v>0</v>
      </c>
      <c r="M109" s="63">
        <f>SUMIFS('Перечень инв.проектов ЭЭ'!V$3:V$308,'Перечень инв.проектов ЭЭ'!$B$3:$B$308,$B$87,'Перечень инв.проектов ЭЭ'!$D$3:$D$308,$S109)</f>
        <v>0</v>
      </c>
      <c r="N109" s="63">
        <f>SUMIFS('Перечень инв.проектов ЭЭ'!W$3:W$308,'Перечень инв.проектов ЭЭ'!$B$3:$B$308,$B$87,'Перечень инв.проектов ЭЭ'!$D$3:$D$308,$S109)</f>
        <v>0</v>
      </c>
      <c r="O109" s="63">
        <f>SUMIFS('Перечень инв.проектов ЭЭ'!X$3:X$308,'Перечень инв.проектов ЭЭ'!$B$3:$B$308,$B$87,'Перечень инв.проектов ЭЭ'!$D$3:$D$308,$S109)</f>
        <v>0</v>
      </c>
      <c r="P109" s="63">
        <f>SUMIFS('Перечень инв.проектов ЭЭ'!Y$3:Y$308,'Перечень инв.проектов ЭЭ'!$B$3:$B$308,$B$87,'Перечень инв.проектов ЭЭ'!$D$3:$D$308,$S109)</f>
        <v>0</v>
      </c>
      <c r="Q109" s="62">
        <f t="shared" si="47"/>
        <v>0</v>
      </c>
      <c r="R109" s="13"/>
      <c r="S109" s="69" t="s">
        <v>154</v>
      </c>
      <c r="AD109" s="17">
        <f>Q109</f>
        <v>0</v>
      </c>
    </row>
    <row r="110" spans="2:30" ht="25.5" x14ac:dyDescent="0.2">
      <c r="B110" s="471"/>
      <c r="C110" s="74" t="s">
        <v>223</v>
      </c>
      <c r="D110" s="63">
        <f>SUMIFS('Перечень инв.проектов ЭЭ'!M$3:M$308,'Перечень инв.проектов ЭЭ'!$B$3:$B$308,$B$87,'Перечень инв.проектов ЭЭ'!$D$3:$D$308,$S110)</f>
        <v>0</v>
      </c>
      <c r="E110" s="63">
        <f>SUMIFS('Перечень инв.проектов ЭЭ'!N$3:N$308,'Перечень инв.проектов ЭЭ'!$B$3:$B$308,$B$87,'Перечень инв.проектов ЭЭ'!$D$3:$D$308,$S110)</f>
        <v>0</v>
      </c>
      <c r="F110" s="63">
        <f>SUMIFS('Перечень инв.проектов ЭЭ'!O$3:O$308,'Перечень инв.проектов ЭЭ'!$B$3:$B$308,$B$87,'Перечень инв.проектов ЭЭ'!$D$3:$D$308,$S110)</f>
        <v>0</v>
      </c>
      <c r="G110" s="63">
        <f>SUMIFS('Перечень инв.проектов ЭЭ'!P$3:P$308,'Перечень инв.проектов ЭЭ'!$B$3:$B$308,$B$87,'Перечень инв.проектов ЭЭ'!$D$3:$D$308,$S110)</f>
        <v>0</v>
      </c>
      <c r="H110" s="63">
        <f>SUMIFS('Перечень инв.проектов ЭЭ'!Q$3:Q$308,'Перечень инв.проектов ЭЭ'!$B$3:$B$308,$B$87,'Перечень инв.проектов ЭЭ'!$D$3:$D$308,$S110)</f>
        <v>0</v>
      </c>
      <c r="I110" s="63">
        <f>SUMIFS('Перечень инв.проектов ЭЭ'!R$3:R$308,'Перечень инв.проектов ЭЭ'!$B$3:$B$308,$B$87,'Перечень инв.проектов ЭЭ'!$D$3:$D$308,$S110)</f>
        <v>0</v>
      </c>
      <c r="J110" s="63">
        <f>SUMIFS('Перечень инв.проектов ЭЭ'!S$3:S$308,'Перечень инв.проектов ЭЭ'!$B$3:$B$308,$B$87,'Перечень инв.проектов ЭЭ'!$D$3:$D$308,$S110)</f>
        <v>0</v>
      </c>
      <c r="K110" s="63">
        <f>SUMIFS('Перечень инв.проектов ЭЭ'!T$3:T$308,'Перечень инв.проектов ЭЭ'!$B$3:$B$308,$B$87,'Перечень инв.проектов ЭЭ'!$D$3:$D$308,$S110)</f>
        <v>0</v>
      </c>
      <c r="L110" s="63">
        <f>SUMIFS('Перечень инв.проектов ЭЭ'!U$3:U$308,'Перечень инв.проектов ЭЭ'!$B$3:$B$308,$B$87,'Перечень инв.проектов ЭЭ'!$D$3:$D$308,$S110)</f>
        <v>0</v>
      </c>
      <c r="M110" s="63">
        <f>SUMIFS('Перечень инв.проектов ЭЭ'!V$3:V$308,'Перечень инв.проектов ЭЭ'!$B$3:$B$308,$B$87,'Перечень инв.проектов ЭЭ'!$D$3:$D$308,$S110)</f>
        <v>0</v>
      </c>
      <c r="N110" s="63">
        <f>SUMIFS('Перечень инв.проектов ЭЭ'!W$3:W$308,'Перечень инв.проектов ЭЭ'!$B$3:$B$308,$B$87,'Перечень инв.проектов ЭЭ'!$D$3:$D$308,$S110)</f>
        <v>0</v>
      </c>
      <c r="O110" s="63">
        <f>SUMIFS('Перечень инв.проектов ЭЭ'!X$3:X$308,'Перечень инв.проектов ЭЭ'!$B$3:$B$308,$B$87,'Перечень инв.проектов ЭЭ'!$D$3:$D$308,$S110)</f>
        <v>0</v>
      </c>
      <c r="P110" s="63">
        <f>SUMIFS('Перечень инв.проектов ЭЭ'!Y$3:Y$308,'Перечень инв.проектов ЭЭ'!$B$3:$B$308,$B$87,'Перечень инв.проектов ЭЭ'!$D$3:$D$308,$S110)</f>
        <v>0</v>
      </c>
      <c r="Q110" s="62">
        <f t="shared" si="47"/>
        <v>0</v>
      </c>
      <c r="R110" s="13"/>
      <c r="S110" s="69" t="s">
        <v>162</v>
      </c>
      <c r="AD110" s="17">
        <f>Q110</f>
        <v>0</v>
      </c>
    </row>
    <row r="111" spans="2:30" ht="25.5" x14ac:dyDescent="0.2">
      <c r="B111" s="471"/>
      <c r="C111" s="74" t="s">
        <v>221</v>
      </c>
      <c r="D111" s="63">
        <f>SUMIFS('Перечень инв.проектов ЭЭ'!M$3:M$308,'Перечень инв.проектов ЭЭ'!$B$3:$B$308,$B$87,'Перечень инв.проектов ЭЭ'!$D$3:$D$308,$S111)</f>
        <v>127231.81000000001</v>
      </c>
      <c r="E111" s="63">
        <f>SUMIFS('Перечень инв.проектов ЭЭ'!N$3:N$308,'Перечень инв.проектов ЭЭ'!$B$3:$B$308,$B$87,'Перечень инв.проектов ЭЭ'!$D$3:$D$308,$S111)</f>
        <v>97616.54</v>
      </c>
      <c r="F111" s="63">
        <f>SUMIFS('Перечень инв.проектов ЭЭ'!O$3:O$308,'Перечень инв.проектов ЭЭ'!$B$3:$B$308,$B$87,'Перечень инв.проектов ЭЭ'!$D$3:$D$308,$S111)</f>
        <v>38943.015500000009</v>
      </c>
      <c r="G111" s="63">
        <f>SUMIFS('Перечень инв.проектов ЭЭ'!P$3:P$308,'Перечень инв.проектов ЭЭ'!$B$3:$B$308,$B$87,'Перечень инв.проектов ЭЭ'!$D$3:$D$308,$S111)</f>
        <v>58849.250000000015</v>
      </c>
      <c r="H111" s="63">
        <f>SUMIFS('Перечень инв.проектов ЭЭ'!Q$3:Q$308,'Перечень инв.проектов ЭЭ'!$B$3:$B$308,$B$87,'Перечень инв.проектов ЭЭ'!$D$3:$D$308,$S111)</f>
        <v>42787.846599999997</v>
      </c>
      <c r="I111" s="63">
        <f>SUMIFS('Перечень инв.проектов ЭЭ'!R$3:R$308,'Перечень инв.проектов ЭЭ'!$B$3:$B$308,$B$87,'Перечень инв.проектов ЭЭ'!$D$3:$D$308,$S111)</f>
        <v>9995.9900000000016</v>
      </c>
      <c r="J111" s="63">
        <f>SUMIFS('Перечень инв.проектов ЭЭ'!S$3:S$308,'Перечень инв.проектов ЭЭ'!$B$3:$B$308,$B$87,'Перечень инв.проектов ЭЭ'!$D$3:$D$308,$S111)</f>
        <v>0</v>
      </c>
      <c r="K111" s="63">
        <f>SUMIFS('Перечень инв.проектов ЭЭ'!T$3:T$308,'Перечень инв.проектов ЭЭ'!$B$3:$B$308,$B$87,'Перечень инв.проектов ЭЭ'!$D$3:$D$308,$S111)</f>
        <v>0</v>
      </c>
      <c r="L111" s="63">
        <f>SUMIFS('Перечень инв.проектов ЭЭ'!U$3:U$308,'Перечень инв.проектов ЭЭ'!$B$3:$B$308,$B$87,'Перечень инв.проектов ЭЭ'!$D$3:$D$308,$S111)</f>
        <v>0</v>
      </c>
      <c r="M111" s="63">
        <f>SUMIFS('Перечень инв.проектов ЭЭ'!V$3:V$308,'Перечень инв.проектов ЭЭ'!$B$3:$B$308,$B$87,'Перечень инв.проектов ЭЭ'!$D$3:$D$308,$S111)</f>
        <v>0</v>
      </c>
      <c r="N111" s="63">
        <f>SUMIFS('Перечень инв.проектов ЭЭ'!W$3:W$308,'Перечень инв.проектов ЭЭ'!$B$3:$B$308,$B$87,'Перечень инв.проектов ЭЭ'!$D$3:$D$308,$S111)</f>
        <v>0</v>
      </c>
      <c r="O111" s="63">
        <f>SUMIFS('Перечень инв.проектов ЭЭ'!X$3:X$308,'Перечень инв.проектов ЭЭ'!$B$3:$B$308,$B$87,'Перечень инв.проектов ЭЭ'!$D$3:$D$308,$S111)</f>
        <v>0</v>
      </c>
      <c r="P111" s="63">
        <f>SUMIFS('Перечень инв.проектов ЭЭ'!Y$3:Y$308,'Перечень инв.проектов ЭЭ'!$B$3:$B$308,$B$87,'Перечень инв.проектов ЭЭ'!$D$3:$D$308,$S111)</f>
        <v>0</v>
      </c>
      <c r="Q111" s="62">
        <f t="shared" si="47"/>
        <v>375424.45209999999</v>
      </c>
      <c r="R111" s="13"/>
      <c r="S111" s="69" t="s">
        <v>165</v>
      </c>
      <c r="AD111" s="17">
        <f>Q111</f>
        <v>375424.45209999999</v>
      </c>
    </row>
    <row r="112" spans="2:30" ht="13.5" x14ac:dyDescent="0.2">
      <c r="B112" s="478" t="s">
        <v>769</v>
      </c>
      <c r="C112" s="478"/>
      <c r="D112" s="52">
        <f>SUM(D113,D118,D123,D128)</f>
        <v>620.96999999999991</v>
      </c>
      <c r="E112" s="52">
        <f>SUM(E113,E118,E123,E128)</f>
        <v>3376.8800000000006</v>
      </c>
      <c r="F112" s="52">
        <f>SUM(F113,F118,F123,F128)</f>
        <v>0</v>
      </c>
      <c r="G112" s="52">
        <f>SUM(G113,G118,G123,G128)</f>
        <v>0</v>
      </c>
      <c r="H112" s="52">
        <f t="shared" ref="H112" si="60">SUM(H113,H118,H123,H128)</f>
        <v>0</v>
      </c>
      <c r="I112" s="52">
        <f t="shared" ref="I112" si="61">SUM(I113,I118,I123,I128)</f>
        <v>0</v>
      </c>
      <c r="J112" s="52">
        <f t="shared" ref="J112" si="62">SUM(J113,J118,J123,J128)</f>
        <v>0</v>
      </c>
      <c r="K112" s="52">
        <f t="shared" ref="K112" si="63">SUM(K113,K118,K123,K128)</f>
        <v>0</v>
      </c>
      <c r="L112" s="52">
        <f t="shared" ref="L112" si="64">SUM(L113,L118,L123,L128)</f>
        <v>0</v>
      </c>
      <c r="M112" s="52">
        <f t="shared" ref="M112" si="65">SUM(M113,M118,M123,M128)</f>
        <v>0</v>
      </c>
      <c r="N112" s="52">
        <f t="shared" ref="N112" si="66">SUM(N113,N118,N123,N128)</f>
        <v>0</v>
      </c>
      <c r="O112" s="52">
        <f t="shared" ref="O112" si="67">SUM(O113,O118,O123,O128)</f>
        <v>0</v>
      </c>
      <c r="P112" s="52">
        <f t="shared" ref="P112" si="68">SUM(P113,P118,P123,P128)</f>
        <v>0</v>
      </c>
      <c r="Q112" s="62">
        <f t="shared" ref="Q112:Q136" si="69">SUM(D112:P112)</f>
        <v>3997.8500000000004</v>
      </c>
      <c r="R112" s="13"/>
      <c r="S112" s="69"/>
      <c r="AD112" s="17">
        <f t="shared" ref="AD112:AD132" si="70">Q112</f>
        <v>3997.8500000000004</v>
      </c>
    </row>
    <row r="113" spans="2:30" x14ac:dyDescent="0.2">
      <c r="B113" s="471" t="s">
        <v>153</v>
      </c>
      <c r="C113" s="73" t="s">
        <v>216</v>
      </c>
      <c r="D113" s="77">
        <f t="shared" ref="D113:P113" si="71">SUM(D114:D117)</f>
        <v>0</v>
      </c>
      <c r="E113" s="77">
        <f t="shared" si="71"/>
        <v>0</v>
      </c>
      <c r="F113" s="77">
        <f t="shared" si="71"/>
        <v>0</v>
      </c>
      <c r="G113" s="77">
        <f t="shared" si="71"/>
        <v>0</v>
      </c>
      <c r="H113" s="77">
        <f t="shared" si="71"/>
        <v>0</v>
      </c>
      <c r="I113" s="77">
        <f t="shared" si="71"/>
        <v>0</v>
      </c>
      <c r="J113" s="77">
        <f t="shared" si="71"/>
        <v>0</v>
      </c>
      <c r="K113" s="77">
        <f t="shared" si="71"/>
        <v>0</v>
      </c>
      <c r="L113" s="77">
        <f t="shared" si="71"/>
        <v>0</v>
      </c>
      <c r="M113" s="77">
        <f t="shared" si="71"/>
        <v>0</v>
      </c>
      <c r="N113" s="77">
        <f t="shared" si="71"/>
        <v>0</v>
      </c>
      <c r="O113" s="77">
        <f t="shared" si="71"/>
        <v>0</v>
      </c>
      <c r="P113" s="77">
        <f t="shared" si="71"/>
        <v>0</v>
      </c>
      <c r="Q113" s="62">
        <f t="shared" si="69"/>
        <v>0</v>
      </c>
      <c r="R113" s="13"/>
      <c r="S113" s="69"/>
      <c r="AD113" s="17">
        <f t="shared" si="70"/>
        <v>0</v>
      </c>
    </row>
    <row r="114" spans="2:30" x14ac:dyDescent="0.2">
      <c r="B114" s="471"/>
      <c r="C114" s="10" t="s">
        <v>163</v>
      </c>
      <c r="D114" s="63">
        <f>SUMIFS('Перечень инв.проектов ЭЭ'!M$3:M$308,'Перечень инв.проектов ЭЭ'!$B$3:$B$308,$B$112,'Перечень инв.проектов ЭЭ'!$C$3:$C$308,$S114,'Перечень инв.проектов ЭЭ'!$K$3:$K$308,$C114)</f>
        <v>0</v>
      </c>
      <c r="E114" s="63">
        <f>SUMIFS('Перечень инв.проектов ЭЭ'!N$3:N$308,'Перечень инв.проектов ЭЭ'!$B$3:$B$308,$B$112,'Перечень инв.проектов ЭЭ'!$C$3:$C$308,$S114,'Перечень инв.проектов ЭЭ'!$K$3:$K$308,$C114)</f>
        <v>0</v>
      </c>
      <c r="F114" s="63">
        <f>SUMIFS('Перечень инв.проектов ЭЭ'!O$3:O$308,'Перечень инв.проектов ЭЭ'!$B$3:$B$308,$B$112,'Перечень инв.проектов ЭЭ'!$C$3:$C$308,$S114,'Перечень инв.проектов ЭЭ'!$K$3:$K$308,$C114)</f>
        <v>0</v>
      </c>
      <c r="G114" s="63">
        <f>SUMIFS('Перечень инв.проектов ЭЭ'!P$3:P$308,'Перечень инв.проектов ЭЭ'!$B$3:$B$308,$B$112,'Перечень инв.проектов ЭЭ'!$C$3:$C$308,$S114,'Перечень инв.проектов ЭЭ'!$K$3:$K$308,$C114)</f>
        <v>0</v>
      </c>
      <c r="H114" s="63">
        <f>SUMIFS('Перечень инв.проектов ЭЭ'!Q$3:Q$308,'Перечень инв.проектов ЭЭ'!$B$3:$B$308,$B$112,'Перечень инв.проектов ЭЭ'!$C$3:$C$308,$S114,'Перечень инв.проектов ЭЭ'!$K$3:$K$308,$C114)</f>
        <v>0</v>
      </c>
      <c r="I114" s="63">
        <f>SUMIFS('Перечень инв.проектов ЭЭ'!R$3:R$308,'Перечень инв.проектов ЭЭ'!$B$3:$B$308,$B$112,'Перечень инв.проектов ЭЭ'!$C$3:$C$308,$S114,'Перечень инв.проектов ЭЭ'!$K$3:$K$308,$C114)</f>
        <v>0</v>
      </c>
      <c r="J114" s="63">
        <f>SUMIFS('Перечень инв.проектов ЭЭ'!S$3:S$308,'Перечень инв.проектов ЭЭ'!$B$3:$B$308,$B$112,'Перечень инв.проектов ЭЭ'!$C$3:$C$308,$S114,'Перечень инв.проектов ЭЭ'!$K$3:$K$308,$C114)</f>
        <v>0</v>
      </c>
      <c r="K114" s="63">
        <f>SUMIFS('Перечень инв.проектов ЭЭ'!T$3:T$308,'Перечень инв.проектов ЭЭ'!$B$3:$B$308,$B$112,'Перечень инв.проектов ЭЭ'!$C$3:$C$308,$S114,'Перечень инв.проектов ЭЭ'!$K$3:$K$308,$C114)</f>
        <v>0</v>
      </c>
      <c r="L114" s="63">
        <f>SUMIFS('Перечень инв.проектов ЭЭ'!U$3:U$308,'Перечень инв.проектов ЭЭ'!$B$3:$B$308,$B$112,'Перечень инв.проектов ЭЭ'!$C$3:$C$308,$S114,'Перечень инв.проектов ЭЭ'!$K$3:$K$308,$C114)</f>
        <v>0</v>
      </c>
      <c r="M114" s="63">
        <f>SUMIFS('Перечень инв.проектов ЭЭ'!V$3:V$308,'Перечень инв.проектов ЭЭ'!$B$3:$B$308,$B$112,'Перечень инв.проектов ЭЭ'!$C$3:$C$308,$S114,'Перечень инв.проектов ЭЭ'!$K$3:$K$308,$C114)</f>
        <v>0</v>
      </c>
      <c r="N114" s="63">
        <f>SUMIFS('Перечень инв.проектов ЭЭ'!W$3:W$308,'Перечень инв.проектов ЭЭ'!$B$3:$B$308,$B$112,'Перечень инв.проектов ЭЭ'!$C$3:$C$308,$S114,'Перечень инв.проектов ЭЭ'!$K$3:$K$308,$C114)</f>
        <v>0</v>
      </c>
      <c r="O114" s="63">
        <f>SUMIFS('Перечень инв.проектов ЭЭ'!X$3:X$308,'Перечень инв.проектов ЭЭ'!$B$3:$B$308,$B$112,'Перечень инв.проектов ЭЭ'!$C$3:$C$308,$S114,'Перечень инв.проектов ЭЭ'!$K$3:$K$308,$C114)</f>
        <v>0</v>
      </c>
      <c r="P114" s="63">
        <f>SUMIFS('Перечень инв.проектов ЭЭ'!Y$3:Y$308,'Перечень инв.проектов ЭЭ'!$B$3:$B$308,$B$112,'Перечень инв.проектов ЭЭ'!$C$3:$C$308,$S114,'Перечень инв.проектов ЭЭ'!$K$3:$K$308,$C114)</f>
        <v>0</v>
      </c>
      <c r="Q114" s="62">
        <f t="shared" si="69"/>
        <v>0</v>
      </c>
      <c r="R114" s="13"/>
      <c r="S114" s="69" t="s">
        <v>153</v>
      </c>
      <c r="AD114" s="17">
        <f t="shared" si="70"/>
        <v>0</v>
      </c>
    </row>
    <row r="115" spans="2:30" ht="25.5" x14ac:dyDescent="0.2">
      <c r="B115" s="471"/>
      <c r="C115" s="16" t="s">
        <v>166</v>
      </c>
      <c r="D115" s="63">
        <f>SUMIFS('Перечень инв.проектов ЭЭ'!M$3:M$308,'Перечень инв.проектов ЭЭ'!$B$3:$B$308,$B$112,'Перечень инв.проектов ЭЭ'!$C$3:$C$308,$S115,'Перечень инв.проектов ЭЭ'!$K$3:$K$308,$C115)</f>
        <v>0</v>
      </c>
      <c r="E115" s="63">
        <f>SUMIFS('Перечень инв.проектов ЭЭ'!N$3:N$308,'Перечень инв.проектов ЭЭ'!$B$3:$B$308,$B$112,'Перечень инв.проектов ЭЭ'!$C$3:$C$308,$S115,'Перечень инв.проектов ЭЭ'!$K$3:$K$308,$C115)</f>
        <v>0</v>
      </c>
      <c r="F115" s="63">
        <f>SUMIFS('Перечень инв.проектов ЭЭ'!O$3:O$308,'Перечень инв.проектов ЭЭ'!$B$3:$B$308,$B$112,'Перечень инв.проектов ЭЭ'!$C$3:$C$308,$S115,'Перечень инв.проектов ЭЭ'!$K$3:$K$308,$C115)</f>
        <v>0</v>
      </c>
      <c r="G115" s="63">
        <f>SUMIFS('Перечень инв.проектов ЭЭ'!P$3:P$308,'Перечень инв.проектов ЭЭ'!$B$3:$B$308,$B$112,'Перечень инв.проектов ЭЭ'!$C$3:$C$308,$S115,'Перечень инв.проектов ЭЭ'!$K$3:$K$308,$C115)</f>
        <v>0</v>
      </c>
      <c r="H115" s="63">
        <f>SUMIFS('Перечень инв.проектов ЭЭ'!Q$3:Q$308,'Перечень инв.проектов ЭЭ'!$B$3:$B$308,$B$112,'Перечень инв.проектов ЭЭ'!$C$3:$C$308,$S115,'Перечень инв.проектов ЭЭ'!$K$3:$K$308,$C115)</f>
        <v>0</v>
      </c>
      <c r="I115" s="63">
        <f>SUMIFS('Перечень инв.проектов ЭЭ'!R$3:R$308,'Перечень инв.проектов ЭЭ'!$B$3:$B$308,$B$112,'Перечень инв.проектов ЭЭ'!$C$3:$C$308,$S115,'Перечень инв.проектов ЭЭ'!$K$3:$K$308,$C115)</f>
        <v>0</v>
      </c>
      <c r="J115" s="63">
        <f>SUMIFS('Перечень инв.проектов ЭЭ'!S$3:S$308,'Перечень инв.проектов ЭЭ'!$B$3:$B$308,$B$112,'Перечень инв.проектов ЭЭ'!$C$3:$C$308,$S115,'Перечень инв.проектов ЭЭ'!$K$3:$K$308,$C115)</f>
        <v>0</v>
      </c>
      <c r="K115" s="63">
        <f>SUMIFS('Перечень инв.проектов ЭЭ'!T$3:T$308,'Перечень инв.проектов ЭЭ'!$B$3:$B$308,$B$112,'Перечень инв.проектов ЭЭ'!$C$3:$C$308,$S115,'Перечень инв.проектов ЭЭ'!$K$3:$K$308,$C115)</f>
        <v>0</v>
      </c>
      <c r="L115" s="63">
        <f>SUMIFS('Перечень инв.проектов ЭЭ'!U$3:U$308,'Перечень инв.проектов ЭЭ'!$B$3:$B$308,$B$112,'Перечень инв.проектов ЭЭ'!$C$3:$C$308,$S115,'Перечень инв.проектов ЭЭ'!$K$3:$K$308,$C115)</f>
        <v>0</v>
      </c>
      <c r="M115" s="63">
        <f>SUMIFS('Перечень инв.проектов ЭЭ'!V$3:V$308,'Перечень инв.проектов ЭЭ'!$B$3:$B$308,$B$112,'Перечень инв.проектов ЭЭ'!$C$3:$C$308,$S115,'Перечень инв.проектов ЭЭ'!$K$3:$K$308,$C115)</f>
        <v>0</v>
      </c>
      <c r="N115" s="63">
        <f>SUMIFS('Перечень инв.проектов ЭЭ'!W$3:W$308,'Перечень инв.проектов ЭЭ'!$B$3:$B$308,$B$112,'Перечень инв.проектов ЭЭ'!$C$3:$C$308,$S115,'Перечень инв.проектов ЭЭ'!$K$3:$K$308,$C115)</f>
        <v>0</v>
      </c>
      <c r="O115" s="63">
        <f>SUMIFS('Перечень инв.проектов ЭЭ'!X$3:X$308,'Перечень инв.проектов ЭЭ'!$B$3:$B$308,$B$112,'Перечень инв.проектов ЭЭ'!$C$3:$C$308,$S115,'Перечень инв.проектов ЭЭ'!$K$3:$K$308,$C115)</f>
        <v>0</v>
      </c>
      <c r="P115" s="63">
        <f>SUMIFS('Перечень инв.проектов ЭЭ'!Y$3:Y$308,'Перечень инв.проектов ЭЭ'!$B$3:$B$308,$B$112,'Перечень инв.проектов ЭЭ'!$C$3:$C$308,$S115,'Перечень инв.проектов ЭЭ'!$K$3:$K$308,$C115)</f>
        <v>0</v>
      </c>
      <c r="Q115" s="62">
        <f t="shared" si="69"/>
        <v>0</v>
      </c>
      <c r="R115" s="13"/>
      <c r="S115" s="69" t="s">
        <v>153</v>
      </c>
      <c r="AD115" s="17">
        <f t="shared" si="70"/>
        <v>0</v>
      </c>
    </row>
    <row r="116" spans="2:30" x14ac:dyDescent="0.2">
      <c r="B116" s="471"/>
      <c r="C116" s="16" t="s">
        <v>155</v>
      </c>
      <c r="D116" s="63">
        <f>SUMIFS('Перечень инв.проектов ЭЭ'!M$3:M$308,'Перечень инв.проектов ЭЭ'!$B$3:$B$308,$B$112,'Перечень инв.проектов ЭЭ'!$C$3:$C$308,$S116,'Перечень инв.проектов ЭЭ'!$K$3:$K$308,$C116)</f>
        <v>0</v>
      </c>
      <c r="E116" s="63">
        <f>SUMIFS('Перечень инв.проектов ЭЭ'!N$3:N$308,'Перечень инв.проектов ЭЭ'!$B$3:$B$308,$B$112,'Перечень инв.проектов ЭЭ'!$C$3:$C$308,$S116,'Перечень инв.проектов ЭЭ'!$K$3:$K$308,$C116)</f>
        <v>0</v>
      </c>
      <c r="F116" s="63">
        <f>SUMIFS('Перечень инв.проектов ЭЭ'!O$3:O$308,'Перечень инв.проектов ЭЭ'!$B$3:$B$308,$B$112,'Перечень инв.проектов ЭЭ'!$C$3:$C$308,$S116,'Перечень инв.проектов ЭЭ'!$K$3:$K$308,$C116)</f>
        <v>0</v>
      </c>
      <c r="G116" s="63">
        <f>SUMIFS('Перечень инв.проектов ЭЭ'!P$3:P$308,'Перечень инв.проектов ЭЭ'!$B$3:$B$308,$B$112,'Перечень инв.проектов ЭЭ'!$C$3:$C$308,$S116,'Перечень инв.проектов ЭЭ'!$K$3:$K$308,$C116)</f>
        <v>0</v>
      </c>
      <c r="H116" s="63">
        <f>SUMIFS('Перечень инв.проектов ЭЭ'!Q$3:Q$308,'Перечень инв.проектов ЭЭ'!$B$3:$B$308,$B$112,'Перечень инв.проектов ЭЭ'!$C$3:$C$308,$S116,'Перечень инв.проектов ЭЭ'!$K$3:$K$308,$C116)</f>
        <v>0</v>
      </c>
      <c r="I116" s="63">
        <f>SUMIFS('Перечень инв.проектов ЭЭ'!R$3:R$308,'Перечень инв.проектов ЭЭ'!$B$3:$B$308,$B$112,'Перечень инв.проектов ЭЭ'!$C$3:$C$308,$S116,'Перечень инв.проектов ЭЭ'!$K$3:$K$308,$C116)</f>
        <v>0</v>
      </c>
      <c r="J116" s="63">
        <f>SUMIFS('Перечень инв.проектов ЭЭ'!S$3:S$308,'Перечень инв.проектов ЭЭ'!$B$3:$B$308,$B$112,'Перечень инв.проектов ЭЭ'!$C$3:$C$308,$S116,'Перечень инв.проектов ЭЭ'!$K$3:$K$308,$C116)</f>
        <v>0</v>
      </c>
      <c r="K116" s="63">
        <f>SUMIFS('Перечень инв.проектов ЭЭ'!T$3:T$308,'Перечень инв.проектов ЭЭ'!$B$3:$B$308,$B$112,'Перечень инв.проектов ЭЭ'!$C$3:$C$308,$S116,'Перечень инв.проектов ЭЭ'!$K$3:$K$308,$C116)</f>
        <v>0</v>
      </c>
      <c r="L116" s="63">
        <f>SUMIFS('Перечень инв.проектов ЭЭ'!U$3:U$308,'Перечень инв.проектов ЭЭ'!$B$3:$B$308,$B$112,'Перечень инв.проектов ЭЭ'!$C$3:$C$308,$S116,'Перечень инв.проектов ЭЭ'!$K$3:$K$308,$C116)</f>
        <v>0</v>
      </c>
      <c r="M116" s="63">
        <f>SUMIFS('Перечень инв.проектов ЭЭ'!V$3:V$308,'Перечень инв.проектов ЭЭ'!$B$3:$B$308,$B$112,'Перечень инв.проектов ЭЭ'!$C$3:$C$308,$S116,'Перечень инв.проектов ЭЭ'!$K$3:$K$308,$C116)</f>
        <v>0</v>
      </c>
      <c r="N116" s="63">
        <f>SUMIFS('Перечень инв.проектов ЭЭ'!W$3:W$308,'Перечень инв.проектов ЭЭ'!$B$3:$B$308,$B$112,'Перечень инв.проектов ЭЭ'!$C$3:$C$308,$S116,'Перечень инв.проектов ЭЭ'!$K$3:$K$308,$C116)</f>
        <v>0</v>
      </c>
      <c r="O116" s="63">
        <f>SUMIFS('Перечень инв.проектов ЭЭ'!X$3:X$308,'Перечень инв.проектов ЭЭ'!$B$3:$B$308,$B$112,'Перечень инв.проектов ЭЭ'!$C$3:$C$308,$S116,'Перечень инв.проектов ЭЭ'!$K$3:$K$308,$C116)</f>
        <v>0</v>
      </c>
      <c r="P116" s="63">
        <f>SUMIFS('Перечень инв.проектов ЭЭ'!Y$3:Y$308,'Перечень инв.проектов ЭЭ'!$B$3:$B$308,$B$112,'Перечень инв.проектов ЭЭ'!$C$3:$C$308,$S116,'Перечень инв.проектов ЭЭ'!$K$3:$K$308,$C116)</f>
        <v>0</v>
      </c>
      <c r="Q116" s="62">
        <f t="shared" si="69"/>
        <v>0</v>
      </c>
      <c r="R116" s="13"/>
      <c r="S116" s="69" t="s">
        <v>153</v>
      </c>
      <c r="AD116" s="17">
        <f t="shared" si="70"/>
        <v>0</v>
      </c>
    </row>
    <row r="117" spans="2:30" x14ac:dyDescent="0.2">
      <c r="B117" s="471"/>
      <c r="C117" s="16" t="s">
        <v>310</v>
      </c>
      <c r="D117" s="63">
        <f>SUMIFS('Перечень инв.проектов ЭЭ'!M$3:M$308,'Перечень инв.проектов ЭЭ'!$B$3:$B$308,$B$112,'Перечень инв.проектов ЭЭ'!$C$3:$C$308,$S117,'Перечень инв.проектов ЭЭ'!$K$3:$K$308,$C117)</f>
        <v>0</v>
      </c>
      <c r="E117" s="63">
        <f>SUMIFS('Перечень инв.проектов ЭЭ'!N$3:N$308,'Перечень инв.проектов ЭЭ'!$B$3:$B$308,$B$112,'Перечень инв.проектов ЭЭ'!$C$3:$C$308,$S117,'Перечень инв.проектов ЭЭ'!$K$3:$K$308,$C117)</f>
        <v>0</v>
      </c>
      <c r="F117" s="63">
        <f>SUMIFS('Перечень инв.проектов ЭЭ'!O$3:O$308,'Перечень инв.проектов ЭЭ'!$B$3:$B$308,$B$112,'Перечень инв.проектов ЭЭ'!$C$3:$C$308,$S117,'Перечень инв.проектов ЭЭ'!$K$3:$K$308,$C117)</f>
        <v>0</v>
      </c>
      <c r="G117" s="63">
        <f>SUMIFS('Перечень инв.проектов ЭЭ'!P$3:P$308,'Перечень инв.проектов ЭЭ'!$B$3:$B$308,$B$112,'Перечень инв.проектов ЭЭ'!$C$3:$C$308,$S117,'Перечень инв.проектов ЭЭ'!$K$3:$K$308,$C117)</f>
        <v>0</v>
      </c>
      <c r="H117" s="63">
        <f>SUMIFS('Перечень инв.проектов ЭЭ'!Q$3:Q$308,'Перечень инв.проектов ЭЭ'!$B$3:$B$308,$B$112,'Перечень инв.проектов ЭЭ'!$C$3:$C$308,$S117,'Перечень инв.проектов ЭЭ'!$K$3:$K$308,$C117)</f>
        <v>0</v>
      </c>
      <c r="I117" s="63">
        <f>SUMIFS('Перечень инв.проектов ЭЭ'!R$3:R$308,'Перечень инв.проектов ЭЭ'!$B$3:$B$308,$B$112,'Перечень инв.проектов ЭЭ'!$C$3:$C$308,$S117,'Перечень инв.проектов ЭЭ'!$K$3:$K$308,$C117)</f>
        <v>0</v>
      </c>
      <c r="J117" s="63">
        <f>SUMIFS('Перечень инв.проектов ЭЭ'!S$3:S$308,'Перечень инв.проектов ЭЭ'!$B$3:$B$308,$B$112,'Перечень инв.проектов ЭЭ'!$C$3:$C$308,$S117,'Перечень инв.проектов ЭЭ'!$K$3:$K$308,$C117)</f>
        <v>0</v>
      </c>
      <c r="K117" s="63">
        <f>SUMIFS('Перечень инв.проектов ЭЭ'!T$3:T$308,'Перечень инв.проектов ЭЭ'!$B$3:$B$308,$B$112,'Перечень инв.проектов ЭЭ'!$C$3:$C$308,$S117,'Перечень инв.проектов ЭЭ'!$K$3:$K$308,$C117)</f>
        <v>0</v>
      </c>
      <c r="L117" s="63">
        <f>SUMIFS('Перечень инв.проектов ЭЭ'!U$3:U$308,'Перечень инв.проектов ЭЭ'!$B$3:$B$308,$B$112,'Перечень инв.проектов ЭЭ'!$C$3:$C$308,$S117,'Перечень инв.проектов ЭЭ'!$K$3:$K$308,$C117)</f>
        <v>0</v>
      </c>
      <c r="M117" s="63">
        <f>SUMIFS('Перечень инв.проектов ЭЭ'!V$3:V$308,'Перечень инв.проектов ЭЭ'!$B$3:$B$308,$B$112,'Перечень инв.проектов ЭЭ'!$C$3:$C$308,$S117,'Перечень инв.проектов ЭЭ'!$K$3:$K$308,$C117)</f>
        <v>0</v>
      </c>
      <c r="N117" s="63">
        <f>SUMIFS('Перечень инв.проектов ЭЭ'!W$3:W$308,'Перечень инв.проектов ЭЭ'!$B$3:$B$308,$B$112,'Перечень инв.проектов ЭЭ'!$C$3:$C$308,$S117,'Перечень инв.проектов ЭЭ'!$K$3:$K$308,$C117)</f>
        <v>0</v>
      </c>
      <c r="O117" s="63">
        <f>SUMIFS('Перечень инв.проектов ЭЭ'!X$3:X$308,'Перечень инв.проектов ЭЭ'!$B$3:$B$308,$B$112,'Перечень инв.проектов ЭЭ'!$C$3:$C$308,$S117,'Перечень инв.проектов ЭЭ'!$K$3:$K$308,$C117)</f>
        <v>0</v>
      </c>
      <c r="P117" s="63">
        <f>SUMIFS('Перечень инв.проектов ЭЭ'!Y$3:Y$308,'Перечень инв.проектов ЭЭ'!$B$3:$B$308,$B$112,'Перечень инв.проектов ЭЭ'!$C$3:$C$308,$S117,'Перечень инв.проектов ЭЭ'!$K$3:$K$308,$C117)</f>
        <v>0</v>
      </c>
      <c r="Q117" s="62">
        <f t="shared" si="69"/>
        <v>0</v>
      </c>
      <c r="R117" s="13"/>
      <c r="S117" s="69" t="s">
        <v>153</v>
      </c>
      <c r="AD117" s="17">
        <f t="shared" si="70"/>
        <v>0</v>
      </c>
    </row>
    <row r="118" spans="2:30" ht="13.15" customHeight="1" x14ac:dyDescent="0.2">
      <c r="B118" s="471" t="s">
        <v>164</v>
      </c>
      <c r="C118" s="73" t="s">
        <v>216</v>
      </c>
      <c r="D118" s="77">
        <f t="shared" ref="D118:P118" si="72">SUM(D119:D122)</f>
        <v>620.96999999999991</v>
      </c>
      <c r="E118" s="77">
        <f t="shared" si="72"/>
        <v>3376.8800000000006</v>
      </c>
      <c r="F118" s="77">
        <f t="shared" si="72"/>
        <v>0</v>
      </c>
      <c r="G118" s="77">
        <f t="shared" si="72"/>
        <v>0</v>
      </c>
      <c r="H118" s="77">
        <f t="shared" si="72"/>
        <v>0</v>
      </c>
      <c r="I118" s="77">
        <f t="shared" si="72"/>
        <v>0</v>
      </c>
      <c r="J118" s="77">
        <f t="shared" si="72"/>
        <v>0</v>
      </c>
      <c r="K118" s="77">
        <f t="shared" si="72"/>
        <v>0</v>
      </c>
      <c r="L118" s="77">
        <f t="shared" si="72"/>
        <v>0</v>
      </c>
      <c r="M118" s="77">
        <f t="shared" si="72"/>
        <v>0</v>
      </c>
      <c r="N118" s="77">
        <f t="shared" si="72"/>
        <v>0</v>
      </c>
      <c r="O118" s="77">
        <f t="shared" si="72"/>
        <v>0</v>
      </c>
      <c r="P118" s="77">
        <f t="shared" si="72"/>
        <v>0</v>
      </c>
      <c r="Q118" s="62">
        <f t="shared" si="69"/>
        <v>3997.8500000000004</v>
      </c>
      <c r="R118" s="13"/>
      <c r="S118" s="69"/>
      <c r="AD118" s="17">
        <f t="shared" si="70"/>
        <v>3997.8500000000004</v>
      </c>
    </row>
    <row r="119" spans="2:30" x14ac:dyDescent="0.2">
      <c r="B119" s="471"/>
      <c r="C119" s="10" t="s">
        <v>163</v>
      </c>
      <c r="D119" s="63">
        <f>SUMIFS('Перечень инв.проектов ЭЭ'!M$3:M$308,'Перечень инв.проектов ЭЭ'!$B$3:$B$308,$B$112,'Перечень инв.проектов ЭЭ'!$C$3:$C$308,$S119,'Перечень инв.проектов ЭЭ'!$K$3:$K$308,$C119)</f>
        <v>0</v>
      </c>
      <c r="E119" s="63">
        <f>SUMIFS('Перечень инв.проектов ЭЭ'!N$3:N$308,'Перечень инв.проектов ЭЭ'!$B$3:$B$308,$B$112,'Перечень инв.проектов ЭЭ'!$C$3:$C$308,$S119,'Перечень инв.проектов ЭЭ'!$K$3:$K$308,$C119)</f>
        <v>0</v>
      </c>
      <c r="F119" s="63">
        <f>SUMIFS('Перечень инв.проектов ЭЭ'!O$3:O$308,'Перечень инв.проектов ЭЭ'!$B$3:$B$308,$B$112,'Перечень инв.проектов ЭЭ'!$C$3:$C$308,$S119,'Перечень инв.проектов ЭЭ'!$K$3:$K$308,$C119)</f>
        <v>0</v>
      </c>
      <c r="G119" s="63">
        <f>SUMIFS('Перечень инв.проектов ЭЭ'!P$3:P$308,'Перечень инв.проектов ЭЭ'!$B$3:$B$308,$B$112,'Перечень инв.проектов ЭЭ'!$C$3:$C$308,$S119,'Перечень инв.проектов ЭЭ'!$K$3:$K$308,$C119)</f>
        <v>0</v>
      </c>
      <c r="H119" s="63">
        <f>SUMIFS('Перечень инв.проектов ЭЭ'!Q$3:Q$308,'Перечень инв.проектов ЭЭ'!$B$3:$B$308,$B$112,'Перечень инв.проектов ЭЭ'!$C$3:$C$308,$S119,'Перечень инв.проектов ЭЭ'!$K$3:$K$308,$C119)</f>
        <v>0</v>
      </c>
      <c r="I119" s="63">
        <f>SUMIFS('Перечень инв.проектов ЭЭ'!R$3:R$308,'Перечень инв.проектов ЭЭ'!$B$3:$B$308,$B$112,'Перечень инв.проектов ЭЭ'!$C$3:$C$308,$S119,'Перечень инв.проектов ЭЭ'!$K$3:$K$308,$C119)</f>
        <v>0</v>
      </c>
      <c r="J119" s="63">
        <f>SUMIFS('Перечень инв.проектов ЭЭ'!S$3:S$308,'Перечень инв.проектов ЭЭ'!$B$3:$B$308,$B$112,'Перечень инв.проектов ЭЭ'!$C$3:$C$308,$S119,'Перечень инв.проектов ЭЭ'!$K$3:$K$308,$C119)</f>
        <v>0</v>
      </c>
      <c r="K119" s="63">
        <f>SUMIFS('Перечень инв.проектов ЭЭ'!T$3:T$308,'Перечень инв.проектов ЭЭ'!$B$3:$B$308,$B$112,'Перечень инв.проектов ЭЭ'!$C$3:$C$308,$S119,'Перечень инв.проектов ЭЭ'!$K$3:$K$308,$C119)</f>
        <v>0</v>
      </c>
      <c r="L119" s="63">
        <f>SUMIFS('Перечень инв.проектов ЭЭ'!U$3:U$308,'Перечень инв.проектов ЭЭ'!$B$3:$B$308,$B$112,'Перечень инв.проектов ЭЭ'!$C$3:$C$308,$S119,'Перечень инв.проектов ЭЭ'!$K$3:$K$308,$C119)</f>
        <v>0</v>
      </c>
      <c r="M119" s="63">
        <f>SUMIFS('Перечень инв.проектов ЭЭ'!V$3:V$308,'Перечень инв.проектов ЭЭ'!$B$3:$B$308,$B$112,'Перечень инв.проектов ЭЭ'!$C$3:$C$308,$S119,'Перечень инв.проектов ЭЭ'!$K$3:$K$308,$C119)</f>
        <v>0</v>
      </c>
      <c r="N119" s="63">
        <f>SUMIFS('Перечень инв.проектов ЭЭ'!W$3:W$308,'Перечень инв.проектов ЭЭ'!$B$3:$B$308,$B$112,'Перечень инв.проектов ЭЭ'!$C$3:$C$308,$S119,'Перечень инв.проектов ЭЭ'!$K$3:$K$308,$C119)</f>
        <v>0</v>
      </c>
      <c r="O119" s="63">
        <f>SUMIFS('Перечень инв.проектов ЭЭ'!X$3:X$308,'Перечень инв.проектов ЭЭ'!$B$3:$B$308,$B$112,'Перечень инв.проектов ЭЭ'!$C$3:$C$308,$S119,'Перечень инв.проектов ЭЭ'!$K$3:$K$308,$C119)</f>
        <v>0</v>
      </c>
      <c r="P119" s="63">
        <f>SUMIFS('Перечень инв.проектов ЭЭ'!Y$3:Y$308,'Перечень инв.проектов ЭЭ'!$B$3:$B$308,$B$112,'Перечень инв.проектов ЭЭ'!$C$3:$C$308,$S119,'Перечень инв.проектов ЭЭ'!$K$3:$K$308,$C119)</f>
        <v>0</v>
      </c>
      <c r="Q119" s="62">
        <f t="shared" si="69"/>
        <v>0</v>
      </c>
      <c r="R119" s="13"/>
      <c r="S119" s="69" t="s">
        <v>164</v>
      </c>
      <c r="AD119" s="17">
        <f t="shared" si="70"/>
        <v>0</v>
      </c>
    </row>
    <row r="120" spans="2:30" ht="25.5" x14ac:dyDescent="0.2">
      <c r="B120" s="471"/>
      <c r="C120" s="16" t="s">
        <v>166</v>
      </c>
      <c r="D120" s="63">
        <f>SUMIFS('Перечень инв.проектов ЭЭ'!M$3:M$308,'Перечень инв.проектов ЭЭ'!$B$3:$B$308,$B$112,'Перечень инв.проектов ЭЭ'!$C$3:$C$308,$S120,'Перечень инв.проектов ЭЭ'!$K$3:$K$308,$C120)</f>
        <v>620.96999999999991</v>
      </c>
      <c r="E120" s="63">
        <f>SUMIFS('Перечень инв.проектов ЭЭ'!N$3:N$308,'Перечень инв.проектов ЭЭ'!$B$3:$B$308,$B$112,'Перечень инв.проектов ЭЭ'!$C$3:$C$308,$S120,'Перечень инв.проектов ЭЭ'!$K$3:$K$308,$C120)</f>
        <v>3376.8800000000006</v>
      </c>
      <c r="F120" s="63">
        <f>SUMIFS('Перечень инв.проектов ЭЭ'!O$3:O$308,'Перечень инв.проектов ЭЭ'!$B$3:$B$308,$B$112,'Перечень инв.проектов ЭЭ'!$C$3:$C$308,$S120,'Перечень инв.проектов ЭЭ'!$K$3:$K$308,$C120)</f>
        <v>0</v>
      </c>
      <c r="G120" s="63">
        <f>SUMIFS('Перечень инв.проектов ЭЭ'!P$3:P$308,'Перечень инв.проектов ЭЭ'!$B$3:$B$308,$B$112,'Перечень инв.проектов ЭЭ'!$C$3:$C$308,$S120,'Перечень инв.проектов ЭЭ'!$K$3:$K$308,$C120)</f>
        <v>0</v>
      </c>
      <c r="H120" s="63">
        <f>SUMIFS('Перечень инв.проектов ЭЭ'!Q$3:Q$308,'Перечень инв.проектов ЭЭ'!$B$3:$B$308,$B$112,'Перечень инв.проектов ЭЭ'!$C$3:$C$308,$S120,'Перечень инв.проектов ЭЭ'!$K$3:$K$308,$C120)</f>
        <v>0</v>
      </c>
      <c r="I120" s="63">
        <f>SUMIFS('Перечень инв.проектов ЭЭ'!R$3:R$308,'Перечень инв.проектов ЭЭ'!$B$3:$B$308,$B$112,'Перечень инв.проектов ЭЭ'!$C$3:$C$308,$S120,'Перечень инв.проектов ЭЭ'!$K$3:$K$308,$C120)</f>
        <v>0</v>
      </c>
      <c r="J120" s="63">
        <f>SUMIFS('Перечень инв.проектов ЭЭ'!S$3:S$308,'Перечень инв.проектов ЭЭ'!$B$3:$B$308,$B$112,'Перечень инв.проектов ЭЭ'!$C$3:$C$308,$S120,'Перечень инв.проектов ЭЭ'!$K$3:$K$308,$C120)</f>
        <v>0</v>
      </c>
      <c r="K120" s="63">
        <f>SUMIFS('Перечень инв.проектов ЭЭ'!T$3:T$308,'Перечень инв.проектов ЭЭ'!$B$3:$B$308,$B$112,'Перечень инв.проектов ЭЭ'!$C$3:$C$308,$S120,'Перечень инв.проектов ЭЭ'!$K$3:$K$308,$C120)</f>
        <v>0</v>
      </c>
      <c r="L120" s="63">
        <f>SUMIFS('Перечень инв.проектов ЭЭ'!U$3:U$308,'Перечень инв.проектов ЭЭ'!$B$3:$B$308,$B$112,'Перечень инв.проектов ЭЭ'!$C$3:$C$308,$S120,'Перечень инв.проектов ЭЭ'!$K$3:$K$308,$C120)</f>
        <v>0</v>
      </c>
      <c r="M120" s="63">
        <f>SUMIFS('Перечень инв.проектов ЭЭ'!V$3:V$308,'Перечень инв.проектов ЭЭ'!$B$3:$B$308,$B$112,'Перечень инв.проектов ЭЭ'!$C$3:$C$308,$S120,'Перечень инв.проектов ЭЭ'!$K$3:$K$308,$C120)</f>
        <v>0</v>
      </c>
      <c r="N120" s="63">
        <f>SUMIFS('Перечень инв.проектов ЭЭ'!W$3:W$308,'Перечень инв.проектов ЭЭ'!$B$3:$B$308,$B$112,'Перечень инв.проектов ЭЭ'!$C$3:$C$308,$S120,'Перечень инв.проектов ЭЭ'!$K$3:$K$308,$C120)</f>
        <v>0</v>
      </c>
      <c r="O120" s="63">
        <f>SUMIFS('Перечень инв.проектов ЭЭ'!X$3:X$308,'Перечень инв.проектов ЭЭ'!$B$3:$B$308,$B$112,'Перечень инв.проектов ЭЭ'!$C$3:$C$308,$S120,'Перечень инв.проектов ЭЭ'!$K$3:$K$308,$C120)</f>
        <v>0</v>
      </c>
      <c r="P120" s="63">
        <f>SUMIFS('Перечень инв.проектов ЭЭ'!Y$3:Y$308,'Перечень инв.проектов ЭЭ'!$B$3:$B$308,$B$112,'Перечень инв.проектов ЭЭ'!$C$3:$C$308,$S120,'Перечень инв.проектов ЭЭ'!$K$3:$K$308,$C120)</f>
        <v>0</v>
      </c>
      <c r="Q120" s="62">
        <f t="shared" si="69"/>
        <v>3997.8500000000004</v>
      </c>
      <c r="R120" s="13"/>
      <c r="S120" s="69" t="s">
        <v>164</v>
      </c>
      <c r="AD120" s="17">
        <f t="shared" si="70"/>
        <v>3997.8500000000004</v>
      </c>
    </row>
    <row r="121" spans="2:30" x14ac:dyDescent="0.2">
      <c r="B121" s="471"/>
      <c r="C121" s="16" t="s">
        <v>155</v>
      </c>
      <c r="D121" s="63">
        <f>SUMIFS('Перечень инв.проектов ЭЭ'!M$3:M$308,'Перечень инв.проектов ЭЭ'!$B$3:$B$308,$B$112,'Перечень инв.проектов ЭЭ'!$C$3:$C$308,$S121,'Перечень инв.проектов ЭЭ'!$K$3:$K$308,$C121)</f>
        <v>0</v>
      </c>
      <c r="E121" s="63">
        <f>SUMIFS('Перечень инв.проектов ЭЭ'!N$3:N$308,'Перечень инв.проектов ЭЭ'!$B$3:$B$308,$B$112,'Перечень инв.проектов ЭЭ'!$C$3:$C$308,$S121,'Перечень инв.проектов ЭЭ'!$K$3:$K$308,$C121)</f>
        <v>0</v>
      </c>
      <c r="F121" s="63">
        <f>SUMIFS('Перечень инв.проектов ЭЭ'!O$3:O$308,'Перечень инв.проектов ЭЭ'!$B$3:$B$308,$B$112,'Перечень инв.проектов ЭЭ'!$C$3:$C$308,$S121,'Перечень инв.проектов ЭЭ'!$K$3:$K$308,$C121)</f>
        <v>0</v>
      </c>
      <c r="G121" s="63">
        <f>SUMIFS('Перечень инв.проектов ЭЭ'!P$3:P$308,'Перечень инв.проектов ЭЭ'!$B$3:$B$308,$B$112,'Перечень инв.проектов ЭЭ'!$C$3:$C$308,$S121,'Перечень инв.проектов ЭЭ'!$K$3:$K$308,$C121)</f>
        <v>0</v>
      </c>
      <c r="H121" s="63">
        <f>SUMIFS('Перечень инв.проектов ЭЭ'!Q$3:Q$308,'Перечень инв.проектов ЭЭ'!$B$3:$B$308,$B$112,'Перечень инв.проектов ЭЭ'!$C$3:$C$308,$S121,'Перечень инв.проектов ЭЭ'!$K$3:$K$308,$C121)</f>
        <v>0</v>
      </c>
      <c r="I121" s="63">
        <f>SUMIFS('Перечень инв.проектов ЭЭ'!R$3:R$308,'Перечень инв.проектов ЭЭ'!$B$3:$B$308,$B$112,'Перечень инв.проектов ЭЭ'!$C$3:$C$308,$S121,'Перечень инв.проектов ЭЭ'!$K$3:$K$308,$C121)</f>
        <v>0</v>
      </c>
      <c r="J121" s="63">
        <f>SUMIFS('Перечень инв.проектов ЭЭ'!S$3:S$308,'Перечень инв.проектов ЭЭ'!$B$3:$B$308,$B$112,'Перечень инв.проектов ЭЭ'!$C$3:$C$308,$S121,'Перечень инв.проектов ЭЭ'!$K$3:$K$308,$C121)</f>
        <v>0</v>
      </c>
      <c r="K121" s="63">
        <f>SUMIFS('Перечень инв.проектов ЭЭ'!T$3:T$308,'Перечень инв.проектов ЭЭ'!$B$3:$B$308,$B$112,'Перечень инв.проектов ЭЭ'!$C$3:$C$308,$S121,'Перечень инв.проектов ЭЭ'!$K$3:$K$308,$C121)</f>
        <v>0</v>
      </c>
      <c r="L121" s="63">
        <f>SUMIFS('Перечень инв.проектов ЭЭ'!U$3:U$308,'Перечень инв.проектов ЭЭ'!$B$3:$B$308,$B$112,'Перечень инв.проектов ЭЭ'!$C$3:$C$308,$S121,'Перечень инв.проектов ЭЭ'!$K$3:$K$308,$C121)</f>
        <v>0</v>
      </c>
      <c r="M121" s="63">
        <f>SUMIFS('Перечень инв.проектов ЭЭ'!V$3:V$308,'Перечень инв.проектов ЭЭ'!$B$3:$B$308,$B$112,'Перечень инв.проектов ЭЭ'!$C$3:$C$308,$S121,'Перечень инв.проектов ЭЭ'!$K$3:$K$308,$C121)</f>
        <v>0</v>
      </c>
      <c r="N121" s="63">
        <f>SUMIFS('Перечень инв.проектов ЭЭ'!W$3:W$308,'Перечень инв.проектов ЭЭ'!$B$3:$B$308,$B$112,'Перечень инв.проектов ЭЭ'!$C$3:$C$308,$S121,'Перечень инв.проектов ЭЭ'!$K$3:$K$308,$C121)</f>
        <v>0</v>
      </c>
      <c r="O121" s="63">
        <f>SUMIFS('Перечень инв.проектов ЭЭ'!X$3:X$308,'Перечень инв.проектов ЭЭ'!$B$3:$B$308,$B$112,'Перечень инв.проектов ЭЭ'!$C$3:$C$308,$S121,'Перечень инв.проектов ЭЭ'!$K$3:$K$308,$C121)</f>
        <v>0</v>
      </c>
      <c r="P121" s="63">
        <f>SUMIFS('Перечень инв.проектов ЭЭ'!Y$3:Y$308,'Перечень инв.проектов ЭЭ'!$B$3:$B$308,$B$112,'Перечень инв.проектов ЭЭ'!$C$3:$C$308,$S121,'Перечень инв.проектов ЭЭ'!$K$3:$K$308,$C121)</f>
        <v>0</v>
      </c>
      <c r="Q121" s="62">
        <f t="shared" si="69"/>
        <v>0</v>
      </c>
      <c r="R121" s="13"/>
      <c r="S121" s="69" t="s">
        <v>164</v>
      </c>
      <c r="AD121" s="17">
        <f t="shared" si="70"/>
        <v>0</v>
      </c>
    </row>
    <row r="122" spans="2:30" x14ac:dyDescent="0.2">
      <c r="B122" s="471"/>
      <c r="C122" s="16" t="s">
        <v>310</v>
      </c>
      <c r="D122" s="63">
        <f>SUMIFS('Перечень инв.проектов ЭЭ'!M$3:M$308,'Перечень инв.проектов ЭЭ'!$B$3:$B$308,$B$112,'Перечень инв.проектов ЭЭ'!$C$3:$C$308,$S122,'Перечень инв.проектов ЭЭ'!$K$3:$K$308,$C122)</f>
        <v>0</v>
      </c>
      <c r="E122" s="63">
        <f>SUMIFS('Перечень инв.проектов ЭЭ'!N$3:N$308,'Перечень инв.проектов ЭЭ'!$B$3:$B$308,$B$112,'Перечень инв.проектов ЭЭ'!$C$3:$C$308,$S122,'Перечень инв.проектов ЭЭ'!$K$3:$K$308,$C122)</f>
        <v>0</v>
      </c>
      <c r="F122" s="63">
        <f>SUMIFS('Перечень инв.проектов ЭЭ'!O$3:O$308,'Перечень инв.проектов ЭЭ'!$B$3:$B$308,$B$112,'Перечень инв.проектов ЭЭ'!$C$3:$C$308,$S122,'Перечень инв.проектов ЭЭ'!$K$3:$K$308,$C122)</f>
        <v>0</v>
      </c>
      <c r="G122" s="63">
        <f>SUMIFS('Перечень инв.проектов ЭЭ'!P$3:P$308,'Перечень инв.проектов ЭЭ'!$B$3:$B$308,$B$112,'Перечень инв.проектов ЭЭ'!$C$3:$C$308,$S122,'Перечень инв.проектов ЭЭ'!$K$3:$K$308,$C122)</f>
        <v>0</v>
      </c>
      <c r="H122" s="63">
        <f>SUMIFS('Перечень инв.проектов ЭЭ'!Q$3:Q$308,'Перечень инв.проектов ЭЭ'!$B$3:$B$308,$B$112,'Перечень инв.проектов ЭЭ'!$C$3:$C$308,$S122,'Перечень инв.проектов ЭЭ'!$K$3:$K$308,$C122)</f>
        <v>0</v>
      </c>
      <c r="I122" s="63">
        <f>SUMIFS('Перечень инв.проектов ЭЭ'!R$3:R$308,'Перечень инв.проектов ЭЭ'!$B$3:$B$308,$B$112,'Перечень инв.проектов ЭЭ'!$C$3:$C$308,$S122,'Перечень инв.проектов ЭЭ'!$K$3:$K$308,$C122)</f>
        <v>0</v>
      </c>
      <c r="J122" s="63">
        <f>SUMIFS('Перечень инв.проектов ЭЭ'!S$3:S$308,'Перечень инв.проектов ЭЭ'!$B$3:$B$308,$B$112,'Перечень инв.проектов ЭЭ'!$C$3:$C$308,$S122,'Перечень инв.проектов ЭЭ'!$K$3:$K$308,$C122)</f>
        <v>0</v>
      </c>
      <c r="K122" s="63">
        <f>SUMIFS('Перечень инв.проектов ЭЭ'!T$3:T$308,'Перечень инв.проектов ЭЭ'!$B$3:$B$308,$B$112,'Перечень инв.проектов ЭЭ'!$C$3:$C$308,$S122,'Перечень инв.проектов ЭЭ'!$K$3:$K$308,$C122)</f>
        <v>0</v>
      </c>
      <c r="L122" s="63">
        <f>SUMIFS('Перечень инв.проектов ЭЭ'!U$3:U$308,'Перечень инв.проектов ЭЭ'!$B$3:$B$308,$B$112,'Перечень инв.проектов ЭЭ'!$C$3:$C$308,$S122,'Перечень инв.проектов ЭЭ'!$K$3:$K$308,$C122)</f>
        <v>0</v>
      </c>
      <c r="M122" s="63">
        <f>SUMIFS('Перечень инв.проектов ЭЭ'!V$3:V$308,'Перечень инв.проектов ЭЭ'!$B$3:$B$308,$B$112,'Перечень инв.проектов ЭЭ'!$C$3:$C$308,$S122,'Перечень инв.проектов ЭЭ'!$K$3:$K$308,$C122)</f>
        <v>0</v>
      </c>
      <c r="N122" s="63">
        <f>SUMIFS('Перечень инв.проектов ЭЭ'!W$3:W$308,'Перечень инв.проектов ЭЭ'!$B$3:$B$308,$B$112,'Перечень инв.проектов ЭЭ'!$C$3:$C$308,$S122,'Перечень инв.проектов ЭЭ'!$K$3:$K$308,$C122)</f>
        <v>0</v>
      </c>
      <c r="O122" s="63">
        <f>SUMIFS('Перечень инв.проектов ЭЭ'!X$3:X$308,'Перечень инв.проектов ЭЭ'!$B$3:$B$308,$B$112,'Перечень инв.проектов ЭЭ'!$C$3:$C$308,$S122,'Перечень инв.проектов ЭЭ'!$K$3:$K$308,$C122)</f>
        <v>0</v>
      </c>
      <c r="P122" s="63">
        <f>SUMIFS('Перечень инв.проектов ЭЭ'!Y$3:Y$308,'Перечень инв.проектов ЭЭ'!$B$3:$B$308,$B$112,'Перечень инв.проектов ЭЭ'!$C$3:$C$308,$S122,'Перечень инв.проектов ЭЭ'!$K$3:$K$308,$C122)</f>
        <v>0</v>
      </c>
      <c r="Q122" s="62">
        <f t="shared" si="69"/>
        <v>0</v>
      </c>
      <c r="R122" s="13"/>
      <c r="S122" s="69" t="s">
        <v>164</v>
      </c>
      <c r="AD122" s="17">
        <f t="shared" si="70"/>
        <v>0</v>
      </c>
    </row>
    <row r="123" spans="2:30" ht="13.15" customHeight="1" x14ac:dyDescent="0.2">
      <c r="B123" s="471" t="s">
        <v>169</v>
      </c>
      <c r="C123" s="73" t="s">
        <v>216</v>
      </c>
      <c r="D123" s="77">
        <f t="shared" ref="D123:P123" si="73">SUM(D124:D127)</f>
        <v>0</v>
      </c>
      <c r="E123" s="77">
        <f t="shared" si="73"/>
        <v>0</v>
      </c>
      <c r="F123" s="77">
        <f t="shared" si="73"/>
        <v>0</v>
      </c>
      <c r="G123" s="77">
        <f t="shared" si="73"/>
        <v>0</v>
      </c>
      <c r="H123" s="77">
        <f t="shared" si="73"/>
        <v>0</v>
      </c>
      <c r="I123" s="77">
        <f t="shared" si="73"/>
        <v>0</v>
      </c>
      <c r="J123" s="77">
        <f t="shared" si="73"/>
        <v>0</v>
      </c>
      <c r="K123" s="77">
        <f t="shared" si="73"/>
        <v>0</v>
      </c>
      <c r="L123" s="77">
        <f t="shared" si="73"/>
        <v>0</v>
      </c>
      <c r="M123" s="77">
        <f t="shared" si="73"/>
        <v>0</v>
      </c>
      <c r="N123" s="77">
        <f t="shared" si="73"/>
        <v>0</v>
      </c>
      <c r="O123" s="77">
        <f t="shared" si="73"/>
        <v>0</v>
      </c>
      <c r="P123" s="77">
        <f t="shared" si="73"/>
        <v>0</v>
      </c>
      <c r="Q123" s="62">
        <f t="shared" si="69"/>
        <v>0</v>
      </c>
      <c r="R123" s="13"/>
      <c r="S123" s="69"/>
      <c r="AD123" s="17">
        <f t="shared" si="70"/>
        <v>0</v>
      </c>
    </row>
    <row r="124" spans="2:30" x14ac:dyDescent="0.2">
      <c r="B124" s="471"/>
      <c r="C124" s="10" t="s">
        <v>163</v>
      </c>
      <c r="D124" s="63">
        <f>SUMIFS('Перечень инв.проектов ЭЭ'!M$3:M$308,'Перечень инв.проектов ЭЭ'!$B$3:$B$308,$B$112,'Перечень инв.проектов ЭЭ'!$C$3:$C$308,$S124,'Перечень инв.проектов ЭЭ'!$K$3:$K$308,$C124)</f>
        <v>0</v>
      </c>
      <c r="E124" s="63">
        <f>SUMIFS('Перечень инв.проектов ЭЭ'!N$3:N$308,'Перечень инв.проектов ЭЭ'!$B$3:$B$308,$B$112,'Перечень инв.проектов ЭЭ'!$C$3:$C$308,$S124,'Перечень инв.проектов ЭЭ'!$K$3:$K$308,$C124)</f>
        <v>0</v>
      </c>
      <c r="F124" s="63">
        <f>SUMIFS('Перечень инв.проектов ЭЭ'!O$3:O$308,'Перечень инв.проектов ЭЭ'!$B$3:$B$308,$B$112,'Перечень инв.проектов ЭЭ'!$C$3:$C$308,$S124,'Перечень инв.проектов ЭЭ'!$K$3:$K$308,$C124)</f>
        <v>0</v>
      </c>
      <c r="G124" s="63">
        <f>SUMIFS('Перечень инв.проектов ЭЭ'!P$3:P$308,'Перечень инв.проектов ЭЭ'!$B$3:$B$308,$B$112,'Перечень инв.проектов ЭЭ'!$C$3:$C$308,$S124,'Перечень инв.проектов ЭЭ'!$K$3:$K$308,$C124)</f>
        <v>0</v>
      </c>
      <c r="H124" s="63">
        <f>SUMIFS('Перечень инв.проектов ЭЭ'!Q$3:Q$308,'Перечень инв.проектов ЭЭ'!$B$3:$B$308,$B$112,'Перечень инв.проектов ЭЭ'!$C$3:$C$308,$S124,'Перечень инв.проектов ЭЭ'!$K$3:$K$308,$C124)</f>
        <v>0</v>
      </c>
      <c r="I124" s="63">
        <f>SUMIFS('Перечень инв.проектов ЭЭ'!R$3:R$308,'Перечень инв.проектов ЭЭ'!$B$3:$B$308,$B$112,'Перечень инв.проектов ЭЭ'!$C$3:$C$308,$S124,'Перечень инв.проектов ЭЭ'!$K$3:$K$308,$C124)</f>
        <v>0</v>
      </c>
      <c r="J124" s="63">
        <f>SUMIFS('Перечень инв.проектов ЭЭ'!S$3:S$308,'Перечень инв.проектов ЭЭ'!$B$3:$B$308,$B$112,'Перечень инв.проектов ЭЭ'!$C$3:$C$308,$S124,'Перечень инв.проектов ЭЭ'!$K$3:$K$308,$C124)</f>
        <v>0</v>
      </c>
      <c r="K124" s="63">
        <f>SUMIFS('Перечень инв.проектов ЭЭ'!T$3:T$308,'Перечень инв.проектов ЭЭ'!$B$3:$B$308,$B$112,'Перечень инв.проектов ЭЭ'!$C$3:$C$308,$S124,'Перечень инв.проектов ЭЭ'!$K$3:$K$308,$C124)</f>
        <v>0</v>
      </c>
      <c r="L124" s="63">
        <f>SUMIFS('Перечень инв.проектов ЭЭ'!U$3:U$308,'Перечень инв.проектов ЭЭ'!$B$3:$B$308,$B$112,'Перечень инв.проектов ЭЭ'!$C$3:$C$308,$S124,'Перечень инв.проектов ЭЭ'!$K$3:$K$308,$C124)</f>
        <v>0</v>
      </c>
      <c r="M124" s="63">
        <f>SUMIFS('Перечень инв.проектов ЭЭ'!V$3:V$308,'Перечень инв.проектов ЭЭ'!$B$3:$B$308,$B$112,'Перечень инв.проектов ЭЭ'!$C$3:$C$308,$S124,'Перечень инв.проектов ЭЭ'!$K$3:$K$308,$C124)</f>
        <v>0</v>
      </c>
      <c r="N124" s="63">
        <f>SUMIFS('Перечень инв.проектов ЭЭ'!W$3:W$308,'Перечень инв.проектов ЭЭ'!$B$3:$B$308,$B$112,'Перечень инв.проектов ЭЭ'!$C$3:$C$308,$S124,'Перечень инв.проектов ЭЭ'!$K$3:$K$308,$C124)</f>
        <v>0</v>
      </c>
      <c r="O124" s="63">
        <f>SUMIFS('Перечень инв.проектов ЭЭ'!X$3:X$308,'Перечень инв.проектов ЭЭ'!$B$3:$B$308,$B$112,'Перечень инв.проектов ЭЭ'!$C$3:$C$308,$S124,'Перечень инв.проектов ЭЭ'!$K$3:$K$308,$C124)</f>
        <v>0</v>
      </c>
      <c r="P124" s="63">
        <f>SUMIFS('Перечень инв.проектов ЭЭ'!Y$3:Y$308,'Перечень инв.проектов ЭЭ'!$B$3:$B$308,$B$112,'Перечень инв.проектов ЭЭ'!$C$3:$C$308,$S124,'Перечень инв.проектов ЭЭ'!$K$3:$K$308,$C124)</f>
        <v>0</v>
      </c>
      <c r="Q124" s="62">
        <f t="shared" si="69"/>
        <v>0</v>
      </c>
      <c r="R124" s="13"/>
      <c r="S124" s="69" t="s">
        <v>169</v>
      </c>
      <c r="AD124" s="17">
        <f t="shared" si="70"/>
        <v>0</v>
      </c>
    </row>
    <row r="125" spans="2:30" ht="25.5" x14ac:dyDescent="0.2">
      <c r="B125" s="471"/>
      <c r="C125" s="16" t="s">
        <v>166</v>
      </c>
      <c r="D125" s="63">
        <f>SUMIFS('Перечень инв.проектов ЭЭ'!M$3:M$308,'Перечень инв.проектов ЭЭ'!$B$3:$B$308,$B$112,'Перечень инв.проектов ЭЭ'!$C$3:$C$308,$S125,'Перечень инв.проектов ЭЭ'!$K$3:$K$308,$C125)</f>
        <v>0</v>
      </c>
      <c r="E125" s="63">
        <f>SUMIFS('Перечень инв.проектов ЭЭ'!N$3:N$308,'Перечень инв.проектов ЭЭ'!$B$3:$B$308,$B$112,'Перечень инв.проектов ЭЭ'!$C$3:$C$308,$S125,'Перечень инв.проектов ЭЭ'!$K$3:$K$308,$C125)</f>
        <v>0</v>
      </c>
      <c r="F125" s="63">
        <f>SUMIFS('Перечень инв.проектов ЭЭ'!O$3:O$308,'Перечень инв.проектов ЭЭ'!$B$3:$B$308,$B$112,'Перечень инв.проектов ЭЭ'!$C$3:$C$308,$S125,'Перечень инв.проектов ЭЭ'!$K$3:$K$308,$C125)</f>
        <v>0</v>
      </c>
      <c r="G125" s="63">
        <f>SUMIFS('Перечень инв.проектов ЭЭ'!P$3:P$308,'Перечень инв.проектов ЭЭ'!$B$3:$B$308,$B$112,'Перечень инв.проектов ЭЭ'!$C$3:$C$308,$S125,'Перечень инв.проектов ЭЭ'!$K$3:$K$308,$C125)</f>
        <v>0</v>
      </c>
      <c r="H125" s="63">
        <f>SUMIFS('Перечень инв.проектов ЭЭ'!Q$3:Q$308,'Перечень инв.проектов ЭЭ'!$B$3:$B$308,$B$112,'Перечень инв.проектов ЭЭ'!$C$3:$C$308,$S125,'Перечень инв.проектов ЭЭ'!$K$3:$K$308,$C125)</f>
        <v>0</v>
      </c>
      <c r="I125" s="63">
        <f>SUMIFS('Перечень инв.проектов ЭЭ'!R$3:R$308,'Перечень инв.проектов ЭЭ'!$B$3:$B$308,$B$112,'Перечень инв.проектов ЭЭ'!$C$3:$C$308,$S125,'Перечень инв.проектов ЭЭ'!$K$3:$K$308,$C125)</f>
        <v>0</v>
      </c>
      <c r="J125" s="63">
        <f>SUMIFS('Перечень инв.проектов ЭЭ'!S$3:S$308,'Перечень инв.проектов ЭЭ'!$B$3:$B$308,$B$112,'Перечень инв.проектов ЭЭ'!$C$3:$C$308,$S125,'Перечень инв.проектов ЭЭ'!$K$3:$K$308,$C125)</f>
        <v>0</v>
      </c>
      <c r="K125" s="63">
        <f>SUMIFS('Перечень инв.проектов ЭЭ'!T$3:T$308,'Перечень инв.проектов ЭЭ'!$B$3:$B$308,$B$112,'Перечень инв.проектов ЭЭ'!$C$3:$C$308,$S125,'Перечень инв.проектов ЭЭ'!$K$3:$K$308,$C125)</f>
        <v>0</v>
      </c>
      <c r="L125" s="63">
        <f>SUMIFS('Перечень инв.проектов ЭЭ'!U$3:U$308,'Перечень инв.проектов ЭЭ'!$B$3:$B$308,$B$112,'Перечень инв.проектов ЭЭ'!$C$3:$C$308,$S125,'Перечень инв.проектов ЭЭ'!$K$3:$K$308,$C125)</f>
        <v>0</v>
      </c>
      <c r="M125" s="63">
        <f>SUMIFS('Перечень инв.проектов ЭЭ'!V$3:V$308,'Перечень инв.проектов ЭЭ'!$B$3:$B$308,$B$112,'Перечень инв.проектов ЭЭ'!$C$3:$C$308,$S125,'Перечень инв.проектов ЭЭ'!$K$3:$K$308,$C125)</f>
        <v>0</v>
      </c>
      <c r="N125" s="63">
        <f>SUMIFS('Перечень инв.проектов ЭЭ'!W$3:W$308,'Перечень инв.проектов ЭЭ'!$B$3:$B$308,$B$112,'Перечень инв.проектов ЭЭ'!$C$3:$C$308,$S125,'Перечень инв.проектов ЭЭ'!$K$3:$K$308,$C125)</f>
        <v>0</v>
      </c>
      <c r="O125" s="63">
        <f>SUMIFS('Перечень инв.проектов ЭЭ'!X$3:X$308,'Перечень инв.проектов ЭЭ'!$B$3:$B$308,$B$112,'Перечень инв.проектов ЭЭ'!$C$3:$C$308,$S125,'Перечень инв.проектов ЭЭ'!$K$3:$K$308,$C125)</f>
        <v>0</v>
      </c>
      <c r="P125" s="63">
        <f>SUMIFS('Перечень инв.проектов ЭЭ'!Y$3:Y$308,'Перечень инв.проектов ЭЭ'!$B$3:$B$308,$B$112,'Перечень инв.проектов ЭЭ'!$C$3:$C$308,$S125,'Перечень инв.проектов ЭЭ'!$K$3:$K$308,$C125)</f>
        <v>0</v>
      </c>
      <c r="Q125" s="62">
        <f t="shared" si="69"/>
        <v>0</v>
      </c>
      <c r="R125" s="13"/>
      <c r="S125" s="69" t="s">
        <v>169</v>
      </c>
      <c r="AD125" s="17">
        <f t="shared" si="70"/>
        <v>0</v>
      </c>
    </row>
    <row r="126" spans="2:30" x14ac:dyDescent="0.2">
      <c r="B126" s="471"/>
      <c r="C126" s="16" t="s">
        <v>155</v>
      </c>
      <c r="D126" s="63">
        <f>SUMIFS('Перечень инв.проектов ЭЭ'!M$3:M$308,'Перечень инв.проектов ЭЭ'!$B$3:$B$308,$B$112,'Перечень инв.проектов ЭЭ'!$C$3:$C$308,$S126,'Перечень инв.проектов ЭЭ'!$K$3:$K$308,$C126)</f>
        <v>0</v>
      </c>
      <c r="E126" s="63">
        <f>SUMIFS('Перечень инв.проектов ЭЭ'!N$3:N$308,'Перечень инв.проектов ЭЭ'!$B$3:$B$308,$B$112,'Перечень инв.проектов ЭЭ'!$C$3:$C$308,$S126,'Перечень инв.проектов ЭЭ'!$K$3:$K$308,$C126)</f>
        <v>0</v>
      </c>
      <c r="F126" s="63">
        <f>SUMIFS('Перечень инв.проектов ЭЭ'!O$3:O$308,'Перечень инв.проектов ЭЭ'!$B$3:$B$308,$B$112,'Перечень инв.проектов ЭЭ'!$C$3:$C$308,$S126,'Перечень инв.проектов ЭЭ'!$K$3:$K$308,$C126)</f>
        <v>0</v>
      </c>
      <c r="G126" s="63">
        <f>SUMIFS('Перечень инв.проектов ЭЭ'!P$3:P$308,'Перечень инв.проектов ЭЭ'!$B$3:$B$308,$B$112,'Перечень инв.проектов ЭЭ'!$C$3:$C$308,$S126,'Перечень инв.проектов ЭЭ'!$K$3:$K$308,$C126)</f>
        <v>0</v>
      </c>
      <c r="H126" s="63">
        <f>SUMIFS('Перечень инв.проектов ЭЭ'!Q$3:Q$308,'Перечень инв.проектов ЭЭ'!$B$3:$B$308,$B$112,'Перечень инв.проектов ЭЭ'!$C$3:$C$308,$S126,'Перечень инв.проектов ЭЭ'!$K$3:$K$308,$C126)</f>
        <v>0</v>
      </c>
      <c r="I126" s="63">
        <f>SUMIFS('Перечень инв.проектов ЭЭ'!R$3:R$308,'Перечень инв.проектов ЭЭ'!$B$3:$B$308,$B$112,'Перечень инв.проектов ЭЭ'!$C$3:$C$308,$S126,'Перечень инв.проектов ЭЭ'!$K$3:$K$308,$C126)</f>
        <v>0</v>
      </c>
      <c r="J126" s="63">
        <f>SUMIFS('Перечень инв.проектов ЭЭ'!S$3:S$308,'Перечень инв.проектов ЭЭ'!$B$3:$B$308,$B$112,'Перечень инв.проектов ЭЭ'!$C$3:$C$308,$S126,'Перечень инв.проектов ЭЭ'!$K$3:$K$308,$C126)</f>
        <v>0</v>
      </c>
      <c r="K126" s="63">
        <f>SUMIFS('Перечень инв.проектов ЭЭ'!T$3:T$308,'Перечень инв.проектов ЭЭ'!$B$3:$B$308,$B$112,'Перечень инв.проектов ЭЭ'!$C$3:$C$308,$S126,'Перечень инв.проектов ЭЭ'!$K$3:$K$308,$C126)</f>
        <v>0</v>
      </c>
      <c r="L126" s="63">
        <f>SUMIFS('Перечень инв.проектов ЭЭ'!U$3:U$308,'Перечень инв.проектов ЭЭ'!$B$3:$B$308,$B$112,'Перечень инв.проектов ЭЭ'!$C$3:$C$308,$S126,'Перечень инв.проектов ЭЭ'!$K$3:$K$308,$C126)</f>
        <v>0</v>
      </c>
      <c r="M126" s="63">
        <f>SUMIFS('Перечень инв.проектов ЭЭ'!V$3:V$308,'Перечень инв.проектов ЭЭ'!$B$3:$B$308,$B$112,'Перечень инв.проектов ЭЭ'!$C$3:$C$308,$S126,'Перечень инв.проектов ЭЭ'!$K$3:$K$308,$C126)</f>
        <v>0</v>
      </c>
      <c r="N126" s="63">
        <f>SUMIFS('Перечень инв.проектов ЭЭ'!W$3:W$308,'Перечень инв.проектов ЭЭ'!$B$3:$B$308,$B$112,'Перечень инв.проектов ЭЭ'!$C$3:$C$308,$S126,'Перечень инв.проектов ЭЭ'!$K$3:$K$308,$C126)</f>
        <v>0</v>
      </c>
      <c r="O126" s="63">
        <f>SUMIFS('Перечень инв.проектов ЭЭ'!X$3:X$308,'Перечень инв.проектов ЭЭ'!$B$3:$B$308,$B$112,'Перечень инв.проектов ЭЭ'!$C$3:$C$308,$S126,'Перечень инв.проектов ЭЭ'!$K$3:$K$308,$C126)</f>
        <v>0</v>
      </c>
      <c r="P126" s="63">
        <f>SUMIFS('Перечень инв.проектов ЭЭ'!Y$3:Y$308,'Перечень инв.проектов ЭЭ'!$B$3:$B$308,$B$112,'Перечень инв.проектов ЭЭ'!$C$3:$C$308,$S126,'Перечень инв.проектов ЭЭ'!$K$3:$K$308,$C126)</f>
        <v>0</v>
      </c>
      <c r="Q126" s="62">
        <f t="shared" si="69"/>
        <v>0</v>
      </c>
      <c r="R126" s="13"/>
      <c r="S126" s="69" t="s">
        <v>169</v>
      </c>
      <c r="AD126" s="17">
        <f t="shared" si="70"/>
        <v>0</v>
      </c>
    </row>
    <row r="127" spans="2:30" x14ac:dyDescent="0.2">
      <c r="B127" s="471"/>
      <c r="C127" s="16" t="s">
        <v>310</v>
      </c>
      <c r="D127" s="63">
        <f>SUMIFS('Перечень инв.проектов ЭЭ'!M$3:M$308,'Перечень инв.проектов ЭЭ'!$B$3:$B$308,$B$112,'Перечень инв.проектов ЭЭ'!$C$3:$C$308,$S127,'Перечень инв.проектов ЭЭ'!$K$3:$K$308,$C127)</f>
        <v>0</v>
      </c>
      <c r="E127" s="63">
        <f>SUMIFS('Перечень инв.проектов ЭЭ'!N$3:N$308,'Перечень инв.проектов ЭЭ'!$B$3:$B$308,$B$112,'Перечень инв.проектов ЭЭ'!$C$3:$C$308,$S127,'Перечень инв.проектов ЭЭ'!$K$3:$K$308,$C127)</f>
        <v>0</v>
      </c>
      <c r="F127" s="63">
        <f>SUMIFS('Перечень инв.проектов ЭЭ'!O$3:O$308,'Перечень инв.проектов ЭЭ'!$B$3:$B$308,$B$112,'Перечень инв.проектов ЭЭ'!$C$3:$C$308,$S127,'Перечень инв.проектов ЭЭ'!$K$3:$K$308,$C127)</f>
        <v>0</v>
      </c>
      <c r="G127" s="63">
        <f>SUMIFS('Перечень инв.проектов ЭЭ'!P$3:P$308,'Перечень инв.проектов ЭЭ'!$B$3:$B$308,$B$112,'Перечень инв.проектов ЭЭ'!$C$3:$C$308,$S127,'Перечень инв.проектов ЭЭ'!$K$3:$K$308,$C127)</f>
        <v>0</v>
      </c>
      <c r="H127" s="63">
        <f>SUMIFS('Перечень инв.проектов ЭЭ'!Q$3:Q$308,'Перечень инв.проектов ЭЭ'!$B$3:$B$308,$B$112,'Перечень инв.проектов ЭЭ'!$C$3:$C$308,$S127,'Перечень инв.проектов ЭЭ'!$K$3:$K$308,$C127)</f>
        <v>0</v>
      </c>
      <c r="I127" s="63">
        <f>SUMIFS('Перечень инв.проектов ЭЭ'!R$3:R$308,'Перечень инв.проектов ЭЭ'!$B$3:$B$308,$B$112,'Перечень инв.проектов ЭЭ'!$C$3:$C$308,$S127,'Перечень инв.проектов ЭЭ'!$K$3:$K$308,$C127)</f>
        <v>0</v>
      </c>
      <c r="J127" s="63">
        <f>SUMIFS('Перечень инв.проектов ЭЭ'!S$3:S$308,'Перечень инв.проектов ЭЭ'!$B$3:$B$308,$B$112,'Перечень инв.проектов ЭЭ'!$C$3:$C$308,$S127,'Перечень инв.проектов ЭЭ'!$K$3:$K$308,$C127)</f>
        <v>0</v>
      </c>
      <c r="K127" s="63">
        <f>SUMIFS('Перечень инв.проектов ЭЭ'!T$3:T$308,'Перечень инв.проектов ЭЭ'!$B$3:$B$308,$B$112,'Перечень инв.проектов ЭЭ'!$C$3:$C$308,$S127,'Перечень инв.проектов ЭЭ'!$K$3:$K$308,$C127)</f>
        <v>0</v>
      </c>
      <c r="L127" s="63">
        <f>SUMIFS('Перечень инв.проектов ЭЭ'!U$3:U$308,'Перечень инв.проектов ЭЭ'!$B$3:$B$308,$B$112,'Перечень инв.проектов ЭЭ'!$C$3:$C$308,$S127,'Перечень инв.проектов ЭЭ'!$K$3:$K$308,$C127)</f>
        <v>0</v>
      </c>
      <c r="M127" s="63">
        <f>SUMIFS('Перечень инв.проектов ЭЭ'!V$3:V$308,'Перечень инв.проектов ЭЭ'!$B$3:$B$308,$B$112,'Перечень инв.проектов ЭЭ'!$C$3:$C$308,$S127,'Перечень инв.проектов ЭЭ'!$K$3:$K$308,$C127)</f>
        <v>0</v>
      </c>
      <c r="N127" s="63">
        <f>SUMIFS('Перечень инв.проектов ЭЭ'!W$3:W$308,'Перечень инв.проектов ЭЭ'!$B$3:$B$308,$B$112,'Перечень инв.проектов ЭЭ'!$C$3:$C$308,$S127,'Перечень инв.проектов ЭЭ'!$K$3:$K$308,$C127)</f>
        <v>0</v>
      </c>
      <c r="O127" s="63">
        <f>SUMIFS('Перечень инв.проектов ЭЭ'!X$3:X$308,'Перечень инв.проектов ЭЭ'!$B$3:$B$308,$B$112,'Перечень инв.проектов ЭЭ'!$C$3:$C$308,$S127,'Перечень инв.проектов ЭЭ'!$K$3:$K$308,$C127)</f>
        <v>0</v>
      </c>
      <c r="P127" s="63">
        <f>SUMIFS('Перечень инв.проектов ЭЭ'!Y$3:Y$308,'Перечень инв.проектов ЭЭ'!$B$3:$B$308,$B$112,'Перечень инв.проектов ЭЭ'!$C$3:$C$308,$S127,'Перечень инв.проектов ЭЭ'!$K$3:$K$308,$C127)</f>
        <v>0</v>
      </c>
      <c r="Q127" s="62">
        <f t="shared" si="69"/>
        <v>0</v>
      </c>
      <c r="R127" s="13"/>
      <c r="S127" s="69" t="s">
        <v>169</v>
      </c>
      <c r="AD127" s="17">
        <f t="shared" si="70"/>
        <v>0</v>
      </c>
    </row>
    <row r="128" spans="2:30" ht="13.15" customHeight="1" x14ac:dyDescent="0.2">
      <c r="B128" s="471" t="s">
        <v>168</v>
      </c>
      <c r="C128" s="73" t="s">
        <v>216</v>
      </c>
      <c r="D128" s="77">
        <f t="shared" ref="D128:P128" si="74">SUM(D129:D132)</f>
        <v>0</v>
      </c>
      <c r="E128" s="77">
        <f t="shared" si="74"/>
        <v>0</v>
      </c>
      <c r="F128" s="77">
        <f t="shared" si="74"/>
        <v>0</v>
      </c>
      <c r="G128" s="77">
        <f t="shared" si="74"/>
        <v>0</v>
      </c>
      <c r="H128" s="77">
        <f t="shared" si="74"/>
        <v>0</v>
      </c>
      <c r="I128" s="77">
        <f t="shared" si="74"/>
        <v>0</v>
      </c>
      <c r="J128" s="77">
        <f t="shared" si="74"/>
        <v>0</v>
      </c>
      <c r="K128" s="77">
        <f t="shared" si="74"/>
        <v>0</v>
      </c>
      <c r="L128" s="77">
        <f t="shared" si="74"/>
        <v>0</v>
      </c>
      <c r="M128" s="77">
        <f t="shared" si="74"/>
        <v>0</v>
      </c>
      <c r="N128" s="77">
        <f t="shared" si="74"/>
        <v>0</v>
      </c>
      <c r="O128" s="77">
        <f t="shared" si="74"/>
        <v>0</v>
      </c>
      <c r="P128" s="77">
        <f t="shared" si="74"/>
        <v>0</v>
      </c>
      <c r="Q128" s="62">
        <f t="shared" si="69"/>
        <v>0</v>
      </c>
      <c r="R128" s="13"/>
      <c r="S128" s="69"/>
      <c r="AD128" s="17">
        <f t="shared" si="70"/>
        <v>0</v>
      </c>
    </row>
    <row r="129" spans="2:31" x14ac:dyDescent="0.2">
      <c r="B129" s="471"/>
      <c r="C129" s="10" t="s">
        <v>163</v>
      </c>
      <c r="D129" s="63">
        <f>SUMIFS('Перечень инв.проектов ЭЭ'!M$3:M$308,'Перечень инв.проектов ЭЭ'!$B$3:$B$308,$B$112,'Перечень инв.проектов ЭЭ'!$C$3:$C$308,$S129,'Перечень инв.проектов ЭЭ'!$K$3:$K$308,$C129)</f>
        <v>0</v>
      </c>
      <c r="E129" s="63">
        <f>SUMIFS('Перечень инв.проектов ЭЭ'!N$3:N$308,'Перечень инв.проектов ЭЭ'!$B$3:$B$308,$B$112,'Перечень инв.проектов ЭЭ'!$C$3:$C$308,$S129,'Перечень инв.проектов ЭЭ'!$K$3:$K$308,$C129)</f>
        <v>0</v>
      </c>
      <c r="F129" s="63">
        <f>SUMIFS('Перечень инв.проектов ЭЭ'!O$3:O$308,'Перечень инв.проектов ЭЭ'!$B$3:$B$308,$B$112,'Перечень инв.проектов ЭЭ'!$C$3:$C$308,$S129,'Перечень инв.проектов ЭЭ'!$K$3:$K$308,$C129)</f>
        <v>0</v>
      </c>
      <c r="G129" s="63">
        <f>SUMIFS('Перечень инв.проектов ЭЭ'!P$3:P$308,'Перечень инв.проектов ЭЭ'!$B$3:$B$308,$B$112,'Перечень инв.проектов ЭЭ'!$C$3:$C$308,$S129,'Перечень инв.проектов ЭЭ'!$K$3:$K$308,$C129)</f>
        <v>0</v>
      </c>
      <c r="H129" s="63">
        <f>SUMIFS('Перечень инв.проектов ЭЭ'!Q$3:Q$308,'Перечень инв.проектов ЭЭ'!$B$3:$B$308,$B$112,'Перечень инв.проектов ЭЭ'!$C$3:$C$308,$S129,'Перечень инв.проектов ЭЭ'!$K$3:$K$308,$C129)</f>
        <v>0</v>
      </c>
      <c r="I129" s="63">
        <f>SUMIFS('Перечень инв.проектов ЭЭ'!R$3:R$308,'Перечень инв.проектов ЭЭ'!$B$3:$B$308,$B$112,'Перечень инв.проектов ЭЭ'!$C$3:$C$308,$S129,'Перечень инв.проектов ЭЭ'!$K$3:$K$308,$C129)</f>
        <v>0</v>
      </c>
      <c r="J129" s="63">
        <f>SUMIFS('Перечень инв.проектов ЭЭ'!S$3:S$308,'Перечень инв.проектов ЭЭ'!$B$3:$B$308,$B$112,'Перечень инв.проектов ЭЭ'!$C$3:$C$308,$S129,'Перечень инв.проектов ЭЭ'!$K$3:$K$308,$C129)</f>
        <v>0</v>
      </c>
      <c r="K129" s="63">
        <f>SUMIFS('Перечень инв.проектов ЭЭ'!T$3:T$308,'Перечень инв.проектов ЭЭ'!$B$3:$B$308,$B$112,'Перечень инв.проектов ЭЭ'!$C$3:$C$308,$S129,'Перечень инв.проектов ЭЭ'!$K$3:$K$308,$C129)</f>
        <v>0</v>
      </c>
      <c r="L129" s="63">
        <f>SUMIFS('Перечень инв.проектов ЭЭ'!U$3:U$308,'Перечень инв.проектов ЭЭ'!$B$3:$B$308,$B$112,'Перечень инв.проектов ЭЭ'!$C$3:$C$308,$S129,'Перечень инв.проектов ЭЭ'!$K$3:$K$308,$C129)</f>
        <v>0</v>
      </c>
      <c r="M129" s="63">
        <f>SUMIFS('Перечень инв.проектов ЭЭ'!V$3:V$308,'Перечень инв.проектов ЭЭ'!$B$3:$B$308,$B$112,'Перечень инв.проектов ЭЭ'!$C$3:$C$308,$S129,'Перечень инв.проектов ЭЭ'!$K$3:$K$308,$C129)</f>
        <v>0</v>
      </c>
      <c r="N129" s="63">
        <f>SUMIFS('Перечень инв.проектов ЭЭ'!W$3:W$308,'Перечень инв.проектов ЭЭ'!$B$3:$B$308,$B$112,'Перечень инв.проектов ЭЭ'!$C$3:$C$308,$S129,'Перечень инв.проектов ЭЭ'!$K$3:$K$308,$C129)</f>
        <v>0</v>
      </c>
      <c r="O129" s="63">
        <f>SUMIFS('Перечень инв.проектов ЭЭ'!X$3:X$308,'Перечень инв.проектов ЭЭ'!$B$3:$B$308,$B$112,'Перечень инв.проектов ЭЭ'!$C$3:$C$308,$S129,'Перечень инв.проектов ЭЭ'!$K$3:$K$308,$C129)</f>
        <v>0</v>
      </c>
      <c r="P129" s="63">
        <f>SUMIFS('Перечень инв.проектов ЭЭ'!Y$3:Y$308,'Перечень инв.проектов ЭЭ'!$B$3:$B$308,$B$112,'Перечень инв.проектов ЭЭ'!$C$3:$C$308,$S129,'Перечень инв.проектов ЭЭ'!$K$3:$K$308,$C129)</f>
        <v>0</v>
      </c>
      <c r="Q129" s="62">
        <f t="shared" si="69"/>
        <v>0</v>
      </c>
      <c r="R129" s="13"/>
      <c r="S129" s="69" t="s">
        <v>168</v>
      </c>
      <c r="AD129" s="17">
        <f t="shared" si="70"/>
        <v>0</v>
      </c>
    </row>
    <row r="130" spans="2:31" ht="25.5" x14ac:dyDescent="0.2">
      <c r="B130" s="471"/>
      <c r="C130" s="16" t="s">
        <v>166</v>
      </c>
      <c r="D130" s="63">
        <f>SUMIFS('Перечень инв.проектов ЭЭ'!M$3:M$308,'Перечень инв.проектов ЭЭ'!$B$3:$B$308,$B$112,'Перечень инв.проектов ЭЭ'!$C$3:$C$308,$S130,'Перечень инв.проектов ЭЭ'!$K$3:$K$308,$C130)</f>
        <v>0</v>
      </c>
      <c r="E130" s="63">
        <f>SUMIFS('Перечень инв.проектов ЭЭ'!N$3:N$308,'Перечень инв.проектов ЭЭ'!$B$3:$B$308,$B$112,'Перечень инв.проектов ЭЭ'!$C$3:$C$308,$S130,'Перечень инв.проектов ЭЭ'!$K$3:$K$308,$C130)</f>
        <v>0</v>
      </c>
      <c r="F130" s="63">
        <f>SUMIFS('Перечень инв.проектов ЭЭ'!O$3:O$308,'Перечень инв.проектов ЭЭ'!$B$3:$B$308,$B$112,'Перечень инв.проектов ЭЭ'!$C$3:$C$308,$S130,'Перечень инв.проектов ЭЭ'!$K$3:$K$308,$C130)</f>
        <v>0</v>
      </c>
      <c r="G130" s="63">
        <f>SUMIFS('Перечень инв.проектов ЭЭ'!P$3:P$308,'Перечень инв.проектов ЭЭ'!$B$3:$B$308,$B$112,'Перечень инв.проектов ЭЭ'!$C$3:$C$308,$S130,'Перечень инв.проектов ЭЭ'!$K$3:$K$308,$C130)</f>
        <v>0</v>
      </c>
      <c r="H130" s="63">
        <f>SUMIFS('Перечень инв.проектов ЭЭ'!Q$3:Q$308,'Перечень инв.проектов ЭЭ'!$B$3:$B$308,$B$112,'Перечень инв.проектов ЭЭ'!$C$3:$C$308,$S130,'Перечень инв.проектов ЭЭ'!$K$3:$K$308,$C130)</f>
        <v>0</v>
      </c>
      <c r="I130" s="63">
        <f>SUMIFS('Перечень инв.проектов ЭЭ'!R$3:R$308,'Перечень инв.проектов ЭЭ'!$B$3:$B$308,$B$112,'Перечень инв.проектов ЭЭ'!$C$3:$C$308,$S130,'Перечень инв.проектов ЭЭ'!$K$3:$K$308,$C130)</f>
        <v>0</v>
      </c>
      <c r="J130" s="63">
        <f>SUMIFS('Перечень инв.проектов ЭЭ'!S$3:S$308,'Перечень инв.проектов ЭЭ'!$B$3:$B$308,$B$112,'Перечень инв.проектов ЭЭ'!$C$3:$C$308,$S130,'Перечень инв.проектов ЭЭ'!$K$3:$K$308,$C130)</f>
        <v>0</v>
      </c>
      <c r="K130" s="63">
        <f>SUMIFS('Перечень инв.проектов ЭЭ'!T$3:T$308,'Перечень инв.проектов ЭЭ'!$B$3:$B$308,$B$112,'Перечень инв.проектов ЭЭ'!$C$3:$C$308,$S130,'Перечень инв.проектов ЭЭ'!$K$3:$K$308,$C130)</f>
        <v>0</v>
      </c>
      <c r="L130" s="63">
        <f>SUMIFS('Перечень инв.проектов ЭЭ'!U$3:U$308,'Перечень инв.проектов ЭЭ'!$B$3:$B$308,$B$112,'Перечень инв.проектов ЭЭ'!$C$3:$C$308,$S130,'Перечень инв.проектов ЭЭ'!$K$3:$K$308,$C130)</f>
        <v>0</v>
      </c>
      <c r="M130" s="63">
        <f>SUMIFS('Перечень инв.проектов ЭЭ'!V$3:V$308,'Перечень инв.проектов ЭЭ'!$B$3:$B$308,$B$112,'Перечень инв.проектов ЭЭ'!$C$3:$C$308,$S130,'Перечень инв.проектов ЭЭ'!$K$3:$K$308,$C130)</f>
        <v>0</v>
      </c>
      <c r="N130" s="63">
        <f>SUMIFS('Перечень инв.проектов ЭЭ'!W$3:W$308,'Перечень инв.проектов ЭЭ'!$B$3:$B$308,$B$112,'Перечень инв.проектов ЭЭ'!$C$3:$C$308,$S130,'Перечень инв.проектов ЭЭ'!$K$3:$K$308,$C130)</f>
        <v>0</v>
      </c>
      <c r="O130" s="63">
        <f>SUMIFS('Перечень инв.проектов ЭЭ'!X$3:X$308,'Перечень инв.проектов ЭЭ'!$B$3:$B$308,$B$112,'Перечень инв.проектов ЭЭ'!$C$3:$C$308,$S130,'Перечень инв.проектов ЭЭ'!$K$3:$K$308,$C130)</f>
        <v>0</v>
      </c>
      <c r="P130" s="63">
        <f>SUMIFS('Перечень инв.проектов ЭЭ'!Y$3:Y$308,'Перечень инв.проектов ЭЭ'!$B$3:$B$308,$B$112,'Перечень инв.проектов ЭЭ'!$C$3:$C$308,$S130,'Перечень инв.проектов ЭЭ'!$K$3:$K$308,$C130)</f>
        <v>0</v>
      </c>
      <c r="Q130" s="62">
        <f t="shared" si="69"/>
        <v>0</v>
      </c>
      <c r="R130" s="13"/>
      <c r="S130" s="69" t="s">
        <v>168</v>
      </c>
      <c r="AD130" s="17">
        <f t="shared" si="70"/>
        <v>0</v>
      </c>
    </row>
    <row r="131" spans="2:31" x14ac:dyDescent="0.2">
      <c r="B131" s="471"/>
      <c r="C131" s="16" t="s">
        <v>155</v>
      </c>
      <c r="D131" s="63">
        <f>SUMIFS('Перечень инв.проектов ЭЭ'!M$3:M$308,'Перечень инв.проектов ЭЭ'!$B$3:$B$308,$B$112,'Перечень инв.проектов ЭЭ'!$C$3:$C$308,$S131,'Перечень инв.проектов ЭЭ'!$K$3:$K$308,$C131)</f>
        <v>0</v>
      </c>
      <c r="E131" s="63">
        <f>SUMIFS('Перечень инв.проектов ЭЭ'!N$3:N$308,'Перечень инв.проектов ЭЭ'!$B$3:$B$308,$B$112,'Перечень инв.проектов ЭЭ'!$C$3:$C$308,$S131,'Перечень инв.проектов ЭЭ'!$K$3:$K$308,$C131)</f>
        <v>0</v>
      </c>
      <c r="F131" s="63">
        <f>SUMIFS('Перечень инв.проектов ЭЭ'!O$3:O$308,'Перечень инв.проектов ЭЭ'!$B$3:$B$308,$B$112,'Перечень инв.проектов ЭЭ'!$C$3:$C$308,$S131,'Перечень инв.проектов ЭЭ'!$K$3:$K$308,$C131)</f>
        <v>0</v>
      </c>
      <c r="G131" s="63">
        <f>SUMIFS('Перечень инв.проектов ЭЭ'!P$3:P$308,'Перечень инв.проектов ЭЭ'!$B$3:$B$308,$B$112,'Перечень инв.проектов ЭЭ'!$C$3:$C$308,$S131,'Перечень инв.проектов ЭЭ'!$K$3:$K$308,$C131)</f>
        <v>0</v>
      </c>
      <c r="H131" s="63">
        <f>SUMIFS('Перечень инв.проектов ЭЭ'!Q$3:Q$308,'Перечень инв.проектов ЭЭ'!$B$3:$B$308,$B$112,'Перечень инв.проектов ЭЭ'!$C$3:$C$308,$S131,'Перечень инв.проектов ЭЭ'!$K$3:$K$308,$C131)</f>
        <v>0</v>
      </c>
      <c r="I131" s="63">
        <f>SUMIFS('Перечень инв.проектов ЭЭ'!R$3:R$308,'Перечень инв.проектов ЭЭ'!$B$3:$B$308,$B$112,'Перечень инв.проектов ЭЭ'!$C$3:$C$308,$S131,'Перечень инв.проектов ЭЭ'!$K$3:$K$308,$C131)</f>
        <v>0</v>
      </c>
      <c r="J131" s="63">
        <f>SUMIFS('Перечень инв.проектов ЭЭ'!S$3:S$308,'Перечень инв.проектов ЭЭ'!$B$3:$B$308,$B$112,'Перечень инв.проектов ЭЭ'!$C$3:$C$308,$S131,'Перечень инв.проектов ЭЭ'!$K$3:$K$308,$C131)</f>
        <v>0</v>
      </c>
      <c r="K131" s="63">
        <f>SUMIFS('Перечень инв.проектов ЭЭ'!T$3:T$308,'Перечень инв.проектов ЭЭ'!$B$3:$B$308,$B$112,'Перечень инв.проектов ЭЭ'!$C$3:$C$308,$S131,'Перечень инв.проектов ЭЭ'!$K$3:$K$308,$C131)</f>
        <v>0</v>
      </c>
      <c r="L131" s="63">
        <f>SUMIFS('Перечень инв.проектов ЭЭ'!U$3:U$308,'Перечень инв.проектов ЭЭ'!$B$3:$B$308,$B$112,'Перечень инв.проектов ЭЭ'!$C$3:$C$308,$S131,'Перечень инв.проектов ЭЭ'!$K$3:$K$308,$C131)</f>
        <v>0</v>
      </c>
      <c r="M131" s="63">
        <f>SUMIFS('Перечень инв.проектов ЭЭ'!V$3:V$308,'Перечень инв.проектов ЭЭ'!$B$3:$B$308,$B$112,'Перечень инв.проектов ЭЭ'!$C$3:$C$308,$S131,'Перечень инв.проектов ЭЭ'!$K$3:$K$308,$C131)</f>
        <v>0</v>
      </c>
      <c r="N131" s="63">
        <f>SUMIFS('Перечень инв.проектов ЭЭ'!W$3:W$308,'Перечень инв.проектов ЭЭ'!$B$3:$B$308,$B$112,'Перечень инв.проектов ЭЭ'!$C$3:$C$308,$S131,'Перечень инв.проектов ЭЭ'!$K$3:$K$308,$C131)</f>
        <v>0</v>
      </c>
      <c r="O131" s="63">
        <f>SUMIFS('Перечень инв.проектов ЭЭ'!X$3:X$308,'Перечень инв.проектов ЭЭ'!$B$3:$B$308,$B$112,'Перечень инв.проектов ЭЭ'!$C$3:$C$308,$S131,'Перечень инв.проектов ЭЭ'!$K$3:$K$308,$C131)</f>
        <v>0</v>
      </c>
      <c r="P131" s="63">
        <f>SUMIFS('Перечень инв.проектов ЭЭ'!Y$3:Y$308,'Перечень инв.проектов ЭЭ'!$B$3:$B$308,$B$112,'Перечень инв.проектов ЭЭ'!$C$3:$C$308,$S131,'Перечень инв.проектов ЭЭ'!$K$3:$K$308,$C131)</f>
        <v>0</v>
      </c>
      <c r="Q131" s="62">
        <f t="shared" si="69"/>
        <v>0</v>
      </c>
      <c r="R131" s="13"/>
      <c r="S131" s="69" t="s">
        <v>168</v>
      </c>
      <c r="AD131" s="17">
        <f t="shared" si="70"/>
        <v>0</v>
      </c>
    </row>
    <row r="132" spans="2:31" x14ac:dyDescent="0.2">
      <c r="B132" s="471"/>
      <c r="C132" s="16" t="s">
        <v>310</v>
      </c>
      <c r="D132" s="63">
        <f>SUMIFS('Перечень инв.проектов ЭЭ'!M$3:M$308,'Перечень инв.проектов ЭЭ'!$B$3:$B$308,$B$112,'Перечень инв.проектов ЭЭ'!$C$3:$C$308,$S132,'Перечень инв.проектов ЭЭ'!$K$3:$K$308,$C132)</f>
        <v>0</v>
      </c>
      <c r="E132" s="63">
        <f>SUMIFS('Перечень инв.проектов ЭЭ'!N$3:N$308,'Перечень инв.проектов ЭЭ'!$B$3:$B$308,$B$112,'Перечень инв.проектов ЭЭ'!$C$3:$C$308,$S132,'Перечень инв.проектов ЭЭ'!$K$3:$K$308,$C132)</f>
        <v>0</v>
      </c>
      <c r="F132" s="63">
        <f>SUMIFS('Перечень инв.проектов ЭЭ'!O$3:O$308,'Перечень инв.проектов ЭЭ'!$B$3:$B$308,$B$112,'Перечень инв.проектов ЭЭ'!$C$3:$C$308,$S132,'Перечень инв.проектов ЭЭ'!$K$3:$K$308,$C132)</f>
        <v>0</v>
      </c>
      <c r="G132" s="63">
        <f>SUMIFS('Перечень инв.проектов ЭЭ'!P$3:P$308,'Перечень инв.проектов ЭЭ'!$B$3:$B$308,$B$112,'Перечень инв.проектов ЭЭ'!$C$3:$C$308,$S132,'Перечень инв.проектов ЭЭ'!$K$3:$K$308,$C132)</f>
        <v>0</v>
      </c>
      <c r="H132" s="63">
        <f>SUMIFS('Перечень инв.проектов ЭЭ'!Q$3:Q$308,'Перечень инв.проектов ЭЭ'!$B$3:$B$308,$B$112,'Перечень инв.проектов ЭЭ'!$C$3:$C$308,$S132,'Перечень инв.проектов ЭЭ'!$K$3:$K$308,$C132)</f>
        <v>0</v>
      </c>
      <c r="I132" s="63">
        <f>SUMIFS('Перечень инв.проектов ЭЭ'!R$3:R$308,'Перечень инв.проектов ЭЭ'!$B$3:$B$308,$B$112,'Перечень инв.проектов ЭЭ'!$C$3:$C$308,$S132,'Перечень инв.проектов ЭЭ'!$K$3:$K$308,$C132)</f>
        <v>0</v>
      </c>
      <c r="J132" s="63">
        <f>SUMIFS('Перечень инв.проектов ЭЭ'!S$3:S$308,'Перечень инв.проектов ЭЭ'!$B$3:$B$308,$B$112,'Перечень инв.проектов ЭЭ'!$C$3:$C$308,$S132,'Перечень инв.проектов ЭЭ'!$K$3:$K$308,$C132)</f>
        <v>0</v>
      </c>
      <c r="K132" s="63">
        <f>SUMIFS('Перечень инв.проектов ЭЭ'!T$3:T$308,'Перечень инв.проектов ЭЭ'!$B$3:$B$308,$B$112,'Перечень инв.проектов ЭЭ'!$C$3:$C$308,$S132,'Перечень инв.проектов ЭЭ'!$K$3:$K$308,$C132)</f>
        <v>0</v>
      </c>
      <c r="L132" s="63">
        <f>SUMIFS('Перечень инв.проектов ЭЭ'!U$3:U$308,'Перечень инв.проектов ЭЭ'!$B$3:$B$308,$B$112,'Перечень инв.проектов ЭЭ'!$C$3:$C$308,$S132,'Перечень инв.проектов ЭЭ'!$K$3:$K$308,$C132)</f>
        <v>0</v>
      </c>
      <c r="M132" s="63">
        <f>SUMIFS('Перечень инв.проектов ЭЭ'!V$3:V$308,'Перечень инв.проектов ЭЭ'!$B$3:$B$308,$B$112,'Перечень инв.проектов ЭЭ'!$C$3:$C$308,$S132,'Перечень инв.проектов ЭЭ'!$K$3:$K$308,$C132)</f>
        <v>0</v>
      </c>
      <c r="N132" s="63">
        <f>SUMIFS('Перечень инв.проектов ЭЭ'!W$3:W$308,'Перечень инв.проектов ЭЭ'!$B$3:$B$308,$B$112,'Перечень инв.проектов ЭЭ'!$C$3:$C$308,$S132,'Перечень инв.проектов ЭЭ'!$K$3:$K$308,$C132)</f>
        <v>0</v>
      </c>
      <c r="O132" s="63">
        <f>SUMIFS('Перечень инв.проектов ЭЭ'!X$3:X$308,'Перечень инв.проектов ЭЭ'!$B$3:$B$308,$B$112,'Перечень инв.проектов ЭЭ'!$C$3:$C$308,$S132,'Перечень инв.проектов ЭЭ'!$K$3:$K$308,$C132)</f>
        <v>0</v>
      </c>
      <c r="P132" s="63">
        <f>SUMIFS('Перечень инв.проектов ЭЭ'!Y$3:Y$308,'Перечень инв.проектов ЭЭ'!$B$3:$B$308,$B$112,'Перечень инв.проектов ЭЭ'!$C$3:$C$308,$S132,'Перечень инв.проектов ЭЭ'!$K$3:$K$308,$C132)</f>
        <v>0</v>
      </c>
      <c r="Q132" s="62">
        <f t="shared" si="69"/>
        <v>0</v>
      </c>
      <c r="R132" s="13"/>
      <c r="S132" s="69" t="s">
        <v>168</v>
      </c>
      <c r="AD132" s="17">
        <f t="shared" si="70"/>
        <v>0</v>
      </c>
    </row>
    <row r="133" spans="2:31" x14ac:dyDescent="0.2">
      <c r="B133" s="471" t="s">
        <v>218</v>
      </c>
      <c r="C133" s="73" t="s">
        <v>216</v>
      </c>
      <c r="D133" s="77">
        <f t="shared" ref="D133:P133" si="75">SUM(D134:D136)</f>
        <v>620.96999999999991</v>
      </c>
      <c r="E133" s="77">
        <f t="shared" si="75"/>
        <v>3376.8800000000006</v>
      </c>
      <c r="F133" s="77">
        <f t="shared" si="75"/>
        <v>0</v>
      </c>
      <c r="G133" s="77">
        <f t="shared" si="75"/>
        <v>0</v>
      </c>
      <c r="H133" s="77">
        <f t="shared" si="75"/>
        <v>0</v>
      </c>
      <c r="I133" s="77">
        <f t="shared" si="75"/>
        <v>0</v>
      </c>
      <c r="J133" s="77">
        <f t="shared" si="75"/>
        <v>0</v>
      </c>
      <c r="K133" s="77">
        <f t="shared" si="75"/>
        <v>0</v>
      </c>
      <c r="L133" s="77">
        <f t="shared" si="75"/>
        <v>0</v>
      </c>
      <c r="M133" s="77">
        <f t="shared" si="75"/>
        <v>0</v>
      </c>
      <c r="N133" s="77">
        <f t="shared" si="75"/>
        <v>0</v>
      </c>
      <c r="O133" s="77">
        <f t="shared" si="75"/>
        <v>0</v>
      </c>
      <c r="P133" s="77">
        <f t="shared" si="75"/>
        <v>0</v>
      </c>
      <c r="Q133" s="62">
        <f t="shared" si="69"/>
        <v>3997.8500000000004</v>
      </c>
      <c r="R133" s="13"/>
      <c r="S133" s="69"/>
      <c r="AD133" s="17">
        <f>Q133</f>
        <v>3997.8500000000004</v>
      </c>
    </row>
    <row r="134" spans="2:31" ht="25.5" x14ac:dyDescent="0.2">
      <c r="B134" s="471"/>
      <c r="C134" s="74" t="s">
        <v>222</v>
      </c>
      <c r="D134" s="63">
        <f>SUMIFS('Перечень инв.проектов ЭЭ'!M$3:M$308,'Перечень инв.проектов ЭЭ'!$B$3:$B$308,$B$112,'Перечень инв.проектов ЭЭ'!$D$3:$D$308,$S134)</f>
        <v>0</v>
      </c>
      <c r="E134" s="63">
        <f>SUMIFS('Перечень инв.проектов ЭЭ'!N$3:N$308,'Перечень инв.проектов ЭЭ'!$B$3:$B$308,$B$112,'Перечень инв.проектов ЭЭ'!$D$3:$D$308,$S134)</f>
        <v>0</v>
      </c>
      <c r="F134" s="63">
        <f>SUMIFS('Перечень инв.проектов ЭЭ'!O$3:O$308,'Перечень инв.проектов ЭЭ'!$B$3:$B$308,$B$112,'Перечень инв.проектов ЭЭ'!$D$3:$D$308,$S134)</f>
        <v>0</v>
      </c>
      <c r="G134" s="63">
        <f>SUMIFS('Перечень инв.проектов ЭЭ'!P$3:P$308,'Перечень инв.проектов ЭЭ'!$B$3:$B$308,$B$112,'Перечень инв.проектов ЭЭ'!$D$3:$D$308,$S134)</f>
        <v>0</v>
      </c>
      <c r="H134" s="63">
        <f>SUMIFS('Перечень инв.проектов ЭЭ'!Q$3:Q$308,'Перечень инв.проектов ЭЭ'!$B$3:$B$308,$B$112,'Перечень инв.проектов ЭЭ'!$D$3:$D$308,$S134)</f>
        <v>0</v>
      </c>
      <c r="I134" s="63">
        <f>SUMIFS('Перечень инв.проектов ЭЭ'!R$3:R$308,'Перечень инв.проектов ЭЭ'!$B$3:$B$308,$B$112,'Перечень инв.проектов ЭЭ'!$D$3:$D$308,$S134)</f>
        <v>0</v>
      </c>
      <c r="J134" s="63">
        <f>SUMIFS('Перечень инв.проектов ЭЭ'!S$3:S$308,'Перечень инв.проектов ЭЭ'!$B$3:$B$308,$B$112,'Перечень инв.проектов ЭЭ'!$D$3:$D$308,$S134)</f>
        <v>0</v>
      </c>
      <c r="K134" s="63">
        <f>SUMIFS('Перечень инв.проектов ЭЭ'!T$3:T$308,'Перечень инв.проектов ЭЭ'!$B$3:$B$308,$B$112,'Перечень инв.проектов ЭЭ'!$D$3:$D$308,$S134)</f>
        <v>0</v>
      </c>
      <c r="L134" s="63">
        <f>SUMIFS('Перечень инв.проектов ЭЭ'!U$3:U$308,'Перечень инв.проектов ЭЭ'!$B$3:$B$308,$B$112,'Перечень инв.проектов ЭЭ'!$D$3:$D$308,$S134)</f>
        <v>0</v>
      </c>
      <c r="M134" s="63">
        <f>SUMIFS('Перечень инв.проектов ЭЭ'!V$3:V$308,'Перечень инв.проектов ЭЭ'!$B$3:$B$308,$B$112,'Перечень инв.проектов ЭЭ'!$D$3:$D$308,$S134)</f>
        <v>0</v>
      </c>
      <c r="N134" s="63">
        <f>SUMIFS('Перечень инв.проектов ЭЭ'!W$3:W$308,'Перечень инв.проектов ЭЭ'!$B$3:$B$308,$B$112,'Перечень инв.проектов ЭЭ'!$D$3:$D$308,$S134)</f>
        <v>0</v>
      </c>
      <c r="O134" s="63">
        <f>SUMIFS('Перечень инв.проектов ЭЭ'!X$3:X$308,'Перечень инв.проектов ЭЭ'!$B$3:$B$308,$B$112,'Перечень инв.проектов ЭЭ'!$D$3:$D$308,$S134)</f>
        <v>0</v>
      </c>
      <c r="P134" s="63">
        <f>SUMIFS('Перечень инв.проектов ЭЭ'!Y$3:Y$308,'Перечень инв.проектов ЭЭ'!$B$3:$B$308,$B$112,'Перечень инв.проектов ЭЭ'!$D$3:$D$308,$S134)</f>
        <v>0</v>
      </c>
      <c r="Q134" s="62">
        <f t="shared" si="69"/>
        <v>0</v>
      </c>
      <c r="R134" s="13"/>
      <c r="S134" s="69" t="s">
        <v>154</v>
      </c>
      <c r="AD134" s="17">
        <f>Q134</f>
        <v>0</v>
      </c>
    </row>
    <row r="135" spans="2:31" ht="25.5" x14ac:dyDescent="0.2">
      <c r="B135" s="471"/>
      <c r="C135" s="74" t="s">
        <v>223</v>
      </c>
      <c r="D135" s="63">
        <f>SUMIFS('Перечень инв.проектов ЭЭ'!M$3:M$308,'Перечень инв.проектов ЭЭ'!$B$3:$B$308,$B$112,'Перечень инв.проектов ЭЭ'!$D$3:$D$308,$S135)</f>
        <v>0</v>
      </c>
      <c r="E135" s="63">
        <f>SUMIFS('Перечень инв.проектов ЭЭ'!N$3:N$308,'Перечень инв.проектов ЭЭ'!$B$3:$B$308,$B$112,'Перечень инв.проектов ЭЭ'!$D$3:$D$308,$S135)</f>
        <v>0</v>
      </c>
      <c r="F135" s="63">
        <f>SUMIFS('Перечень инв.проектов ЭЭ'!O$3:O$308,'Перечень инв.проектов ЭЭ'!$B$3:$B$308,$B$112,'Перечень инв.проектов ЭЭ'!$D$3:$D$308,$S135)</f>
        <v>0</v>
      </c>
      <c r="G135" s="63">
        <f>SUMIFS('Перечень инв.проектов ЭЭ'!P$3:P$308,'Перечень инв.проектов ЭЭ'!$B$3:$B$308,$B$112,'Перечень инв.проектов ЭЭ'!$D$3:$D$308,$S135)</f>
        <v>0</v>
      </c>
      <c r="H135" s="63">
        <f>SUMIFS('Перечень инв.проектов ЭЭ'!Q$3:Q$308,'Перечень инв.проектов ЭЭ'!$B$3:$B$308,$B$112,'Перечень инв.проектов ЭЭ'!$D$3:$D$308,$S135)</f>
        <v>0</v>
      </c>
      <c r="I135" s="63">
        <f>SUMIFS('Перечень инв.проектов ЭЭ'!R$3:R$308,'Перечень инв.проектов ЭЭ'!$B$3:$B$308,$B$112,'Перечень инв.проектов ЭЭ'!$D$3:$D$308,$S135)</f>
        <v>0</v>
      </c>
      <c r="J135" s="63">
        <f>SUMIFS('Перечень инв.проектов ЭЭ'!S$3:S$308,'Перечень инв.проектов ЭЭ'!$B$3:$B$308,$B$112,'Перечень инв.проектов ЭЭ'!$D$3:$D$308,$S135)</f>
        <v>0</v>
      </c>
      <c r="K135" s="63">
        <f>SUMIFS('Перечень инв.проектов ЭЭ'!T$3:T$308,'Перечень инв.проектов ЭЭ'!$B$3:$B$308,$B$112,'Перечень инв.проектов ЭЭ'!$D$3:$D$308,$S135)</f>
        <v>0</v>
      </c>
      <c r="L135" s="63">
        <f>SUMIFS('Перечень инв.проектов ЭЭ'!U$3:U$308,'Перечень инв.проектов ЭЭ'!$B$3:$B$308,$B$112,'Перечень инв.проектов ЭЭ'!$D$3:$D$308,$S135)</f>
        <v>0</v>
      </c>
      <c r="M135" s="63">
        <f>SUMIFS('Перечень инв.проектов ЭЭ'!V$3:V$308,'Перечень инв.проектов ЭЭ'!$B$3:$B$308,$B$112,'Перечень инв.проектов ЭЭ'!$D$3:$D$308,$S135)</f>
        <v>0</v>
      </c>
      <c r="N135" s="63">
        <f>SUMIFS('Перечень инв.проектов ЭЭ'!W$3:W$308,'Перечень инв.проектов ЭЭ'!$B$3:$B$308,$B$112,'Перечень инв.проектов ЭЭ'!$D$3:$D$308,$S135)</f>
        <v>0</v>
      </c>
      <c r="O135" s="63">
        <f>SUMIFS('Перечень инв.проектов ЭЭ'!X$3:X$308,'Перечень инв.проектов ЭЭ'!$B$3:$B$308,$B$112,'Перечень инв.проектов ЭЭ'!$D$3:$D$308,$S135)</f>
        <v>0</v>
      </c>
      <c r="P135" s="63">
        <f>SUMIFS('Перечень инв.проектов ЭЭ'!Y$3:Y$308,'Перечень инв.проектов ЭЭ'!$B$3:$B$308,$B$112,'Перечень инв.проектов ЭЭ'!$D$3:$D$308,$S135)</f>
        <v>0</v>
      </c>
      <c r="Q135" s="62">
        <f t="shared" si="69"/>
        <v>0</v>
      </c>
      <c r="R135" s="13"/>
      <c r="S135" s="69" t="s">
        <v>162</v>
      </c>
      <c r="AD135" s="17">
        <f>Q135</f>
        <v>0</v>
      </c>
    </row>
    <row r="136" spans="2:31" ht="25.5" x14ac:dyDescent="0.2">
      <c r="B136" s="471"/>
      <c r="C136" s="74" t="s">
        <v>221</v>
      </c>
      <c r="D136" s="63">
        <f>SUMIFS('Перечень инв.проектов ЭЭ'!M$3:M$308,'Перечень инв.проектов ЭЭ'!$B$3:$B$308,$B$112,'Перечень инв.проектов ЭЭ'!$D$3:$D$308,$S136)</f>
        <v>620.96999999999991</v>
      </c>
      <c r="E136" s="63">
        <f>SUMIFS('Перечень инв.проектов ЭЭ'!N$3:N$308,'Перечень инв.проектов ЭЭ'!$B$3:$B$308,$B$112,'Перечень инв.проектов ЭЭ'!$D$3:$D$308,$S136)</f>
        <v>3376.8800000000006</v>
      </c>
      <c r="F136" s="63">
        <f>SUMIFS('Перечень инв.проектов ЭЭ'!O$3:O$308,'Перечень инв.проектов ЭЭ'!$B$3:$B$308,$B$112,'Перечень инв.проектов ЭЭ'!$D$3:$D$308,$S136)</f>
        <v>0</v>
      </c>
      <c r="G136" s="63">
        <f>SUMIFS('Перечень инв.проектов ЭЭ'!P$3:P$308,'Перечень инв.проектов ЭЭ'!$B$3:$B$308,$B$112,'Перечень инв.проектов ЭЭ'!$D$3:$D$308,$S136)</f>
        <v>0</v>
      </c>
      <c r="H136" s="63">
        <f>SUMIFS('Перечень инв.проектов ЭЭ'!Q$3:Q$308,'Перечень инв.проектов ЭЭ'!$B$3:$B$308,$B$112,'Перечень инв.проектов ЭЭ'!$D$3:$D$308,$S136)</f>
        <v>0</v>
      </c>
      <c r="I136" s="63">
        <f>SUMIFS('Перечень инв.проектов ЭЭ'!R$3:R$308,'Перечень инв.проектов ЭЭ'!$B$3:$B$308,$B$112,'Перечень инв.проектов ЭЭ'!$D$3:$D$308,$S136)</f>
        <v>0</v>
      </c>
      <c r="J136" s="63">
        <f>SUMIFS('Перечень инв.проектов ЭЭ'!S$3:S$308,'Перечень инв.проектов ЭЭ'!$B$3:$B$308,$B$112,'Перечень инв.проектов ЭЭ'!$D$3:$D$308,$S136)</f>
        <v>0</v>
      </c>
      <c r="K136" s="63">
        <f>SUMIFS('Перечень инв.проектов ЭЭ'!T$3:T$308,'Перечень инв.проектов ЭЭ'!$B$3:$B$308,$B$112,'Перечень инв.проектов ЭЭ'!$D$3:$D$308,$S136)</f>
        <v>0</v>
      </c>
      <c r="L136" s="63">
        <f>SUMIFS('Перечень инв.проектов ЭЭ'!U$3:U$308,'Перечень инв.проектов ЭЭ'!$B$3:$B$308,$B$112,'Перечень инв.проектов ЭЭ'!$D$3:$D$308,$S136)</f>
        <v>0</v>
      </c>
      <c r="M136" s="63">
        <f>SUMIFS('Перечень инв.проектов ЭЭ'!V$3:V$308,'Перечень инв.проектов ЭЭ'!$B$3:$B$308,$B$112,'Перечень инв.проектов ЭЭ'!$D$3:$D$308,$S136)</f>
        <v>0</v>
      </c>
      <c r="N136" s="63">
        <f>SUMIFS('Перечень инв.проектов ЭЭ'!W$3:W$308,'Перечень инв.проектов ЭЭ'!$B$3:$B$308,$B$112,'Перечень инв.проектов ЭЭ'!$D$3:$D$308,$S136)</f>
        <v>0</v>
      </c>
      <c r="O136" s="63">
        <f>SUMIFS('Перечень инв.проектов ЭЭ'!X$3:X$308,'Перечень инв.проектов ЭЭ'!$B$3:$B$308,$B$112,'Перечень инв.проектов ЭЭ'!$D$3:$D$308,$S136)</f>
        <v>0</v>
      </c>
      <c r="P136" s="63">
        <f>SUMIFS('Перечень инв.проектов ЭЭ'!Y$3:Y$308,'Перечень инв.проектов ЭЭ'!$B$3:$B$308,$B$112,'Перечень инв.проектов ЭЭ'!$D$3:$D$308,$S136)</f>
        <v>0</v>
      </c>
      <c r="Q136" s="62">
        <f t="shared" si="69"/>
        <v>3997.8500000000004</v>
      </c>
      <c r="R136" s="13"/>
      <c r="S136" s="69" t="s">
        <v>165</v>
      </c>
      <c r="AD136" s="17">
        <f>Q136</f>
        <v>3997.8500000000004</v>
      </c>
    </row>
    <row r="137" spans="2:31" ht="13.5" x14ac:dyDescent="0.2">
      <c r="B137" s="477" t="s">
        <v>205</v>
      </c>
      <c r="C137" s="477"/>
      <c r="D137" s="52">
        <f>D138</f>
        <v>0</v>
      </c>
      <c r="E137" s="52">
        <f t="shared" ref="E137:Q137" si="76">E138</f>
        <v>0</v>
      </c>
      <c r="F137" s="52">
        <f t="shared" si="76"/>
        <v>0</v>
      </c>
      <c r="G137" s="52">
        <f t="shared" si="76"/>
        <v>0</v>
      </c>
      <c r="H137" s="52">
        <f t="shared" si="76"/>
        <v>0</v>
      </c>
      <c r="I137" s="52">
        <f t="shared" si="76"/>
        <v>0</v>
      </c>
      <c r="J137" s="52">
        <f t="shared" si="76"/>
        <v>0</v>
      </c>
      <c r="K137" s="52">
        <f t="shared" si="76"/>
        <v>0</v>
      </c>
      <c r="L137" s="52">
        <f t="shared" si="76"/>
        <v>0</v>
      </c>
      <c r="M137" s="52">
        <f t="shared" si="76"/>
        <v>0</v>
      </c>
      <c r="N137" s="52">
        <f t="shared" si="76"/>
        <v>0</v>
      </c>
      <c r="O137" s="52">
        <f t="shared" si="76"/>
        <v>0</v>
      </c>
      <c r="P137" s="52">
        <f t="shared" si="76"/>
        <v>0</v>
      </c>
      <c r="Q137" s="52">
        <f t="shared" si="76"/>
        <v>0</v>
      </c>
      <c r="R137" s="93">
        <f>'Перечень инв.проектов ГС'!AF21</f>
        <v>0</v>
      </c>
      <c r="S137" s="69"/>
      <c r="AE137" s="17">
        <f>Q137</f>
        <v>0</v>
      </c>
    </row>
    <row r="138" spans="2:31" ht="13.5" x14ac:dyDescent="0.2">
      <c r="B138" s="478" t="s">
        <v>594</v>
      </c>
      <c r="C138" s="478"/>
      <c r="D138" s="52">
        <f>SUM(D139,D144,D149,D154)</f>
        <v>0</v>
      </c>
      <c r="E138" s="52">
        <f>SUM(E139,E144,E149,E154)</f>
        <v>0</v>
      </c>
      <c r="F138" s="52">
        <f>SUM(F139,F144,F149,F154)</f>
        <v>0</v>
      </c>
      <c r="G138" s="52">
        <f>SUM(G139,G144,G149,G154)</f>
        <v>0</v>
      </c>
      <c r="H138" s="52">
        <f t="shared" ref="H138:P138" si="77">SUM(H139,H144,H149,H154)</f>
        <v>0</v>
      </c>
      <c r="I138" s="52">
        <f t="shared" si="77"/>
        <v>0</v>
      </c>
      <c r="J138" s="52">
        <f t="shared" si="77"/>
        <v>0</v>
      </c>
      <c r="K138" s="52">
        <f t="shared" si="77"/>
        <v>0</v>
      </c>
      <c r="L138" s="52">
        <f t="shared" si="77"/>
        <v>0</v>
      </c>
      <c r="M138" s="52">
        <f t="shared" si="77"/>
        <v>0</v>
      </c>
      <c r="N138" s="52">
        <f t="shared" si="77"/>
        <v>0</v>
      </c>
      <c r="O138" s="52">
        <f t="shared" si="77"/>
        <v>0</v>
      </c>
      <c r="P138" s="52">
        <f t="shared" si="77"/>
        <v>0</v>
      </c>
      <c r="Q138" s="78">
        <f t="shared" ref="Q138:Q143" si="78">SUM(D138:G138)</f>
        <v>0</v>
      </c>
      <c r="R138" s="93">
        <f>Q138-Q159</f>
        <v>0</v>
      </c>
      <c r="S138" s="69"/>
      <c r="AE138" s="17"/>
    </row>
    <row r="139" spans="2:31" x14ac:dyDescent="0.2">
      <c r="B139" s="471" t="s">
        <v>153</v>
      </c>
      <c r="C139" s="73" t="s">
        <v>216</v>
      </c>
      <c r="D139" s="77">
        <f>SUM(D140:D143)</f>
        <v>0</v>
      </c>
      <c r="E139" s="77">
        <f>SUM(E140:E143)</f>
        <v>0</v>
      </c>
      <c r="F139" s="77">
        <f>SUM(F140:F143)</f>
        <v>0</v>
      </c>
      <c r="G139" s="77">
        <f>SUM(G140:G143)</f>
        <v>0</v>
      </c>
      <c r="H139" s="77">
        <f t="shared" ref="H139:P139" si="79">SUM(H140:H143)</f>
        <v>0</v>
      </c>
      <c r="I139" s="77">
        <f t="shared" si="79"/>
        <v>0</v>
      </c>
      <c r="J139" s="77">
        <f t="shared" si="79"/>
        <v>0</v>
      </c>
      <c r="K139" s="77">
        <f t="shared" si="79"/>
        <v>0</v>
      </c>
      <c r="L139" s="77">
        <f t="shared" si="79"/>
        <v>0</v>
      </c>
      <c r="M139" s="77">
        <f t="shared" si="79"/>
        <v>0</v>
      </c>
      <c r="N139" s="77">
        <f t="shared" si="79"/>
        <v>0</v>
      </c>
      <c r="O139" s="77">
        <f t="shared" si="79"/>
        <v>0</v>
      </c>
      <c r="P139" s="77">
        <f t="shared" si="79"/>
        <v>0</v>
      </c>
      <c r="Q139" s="78">
        <f t="shared" si="78"/>
        <v>0</v>
      </c>
      <c r="R139" s="13"/>
      <c r="S139" s="69"/>
      <c r="AE139" s="17"/>
    </row>
    <row r="140" spans="2:31" ht="38.25" x14ac:dyDescent="0.2">
      <c r="B140" s="471"/>
      <c r="C140" s="10" t="s">
        <v>163</v>
      </c>
      <c r="D140" s="63">
        <f>SUMIFS('Перечень инв.проектов ГС'!N$4:N$563,'Перечень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E140" s="63">
        <f>SUMIFS('Перечень инв.проектов ГС'!O$4:O$563,'Перечень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F140" s="63">
        <f>SUMIFS('Перечень инв.проектов ГС'!P$4:P$563,'Перечень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G140" s="63">
        <f>SUMIFS('Перечень инв.проектов ГС'!Q$4:Q$563,'Перечень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H140" s="63">
        <f>SUMIFS('Перечень инв.проектов ГС'!R$4:R$563,'Перечень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I140" s="63">
        <f>SUMIFS('Перечень инв.проектов ГС'!S$4:S$563,'Перечень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J140" s="63">
        <f>SUMIFS('Перечень инв.проектов ГС'!T$4:T$563,'Перечень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K140" s="63">
        <f>SUMIFS('Перечень инв.проектов ГС'!U$4:U$563,'Перечень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L140" s="63">
        <f>SUMIFS('Перечень инв.проектов ГС'!V$4:V$563,'Перечень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M140" s="63">
        <f>SUMIFS('Перечень инв.проектов ГС'!W$4:W$563,'Перечень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N140" s="63">
        <f>SUMIFS('Перечень инв.проектов ГС'!X$4:X$563,'Перечень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O140" s="63">
        <f>SUMIFS('Перечень инв.проектов ГС'!Y$4:Y$563,'Перечень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P140" s="63">
        <f>SUMIFS('Перечень инв.проектов ГС'!Z$4:Z$563,'Перечень инв.проектов ГС'!$C$4:$C$563,'Программа инв. проектов'!$S140,'Перечень инв.проектов ГС'!$K$4:$K$563,$C140,'Перечень инв.проектов ГС'!$B$4:$B$563,'Программа инв. проектов'!$B$138)</f>
        <v>0</v>
      </c>
      <c r="Q140" s="78">
        <f t="shared" si="78"/>
        <v>0</v>
      </c>
      <c r="R140" s="14"/>
      <c r="S140" s="57" t="s">
        <v>153</v>
      </c>
      <c r="AE140" s="17"/>
    </row>
    <row r="141" spans="2:31" ht="38.25" x14ac:dyDescent="0.2">
      <c r="B141" s="471"/>
      <c r="C141" s="16" t="s">
        <v>166</v>
      </c>
      <c r="D141" s="63">
        <f>SUMIFS('Перечень инв.проектов ГС'!N$4:N$563,'Перечень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E141" s="63">
        <f>SUMIFS('Перечень инв.проектов ГС'!O$4:O$563,'Перечень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F141" s="63">
        <f>SUMIFS('Перечень инв.проектов ГС'!P$4:P$563,'Перечень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G141" s="63">
        <f>SUMIFS('Перечень инв.проектов ГС'!Q$4:Q$563,'Перечень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H141" s="63">
        <f>SUMIFS('Перечень инв.проектов ГС'!R$4:R$563,'Перечень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I141" s="63">
        <f>SUMIFS('Перечень инв.проектов ГС'!S$4:S$563,'Перечень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J141" s="63">
        <f>SUMIFS('Перечень инв.проектов ГС'!T$4:T$563,'Перечень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K141" s="63">
        <f>SUMIFS('Перечень инв.проектов ГС'!U$4:U$563,'Перечень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L141" s="63">
        <f>SUMIFS('Перечень инв.проектов ГС'!V$4:V$563,'Перечень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M141" s="63">
        <f>SUMIFS('Перечень инв.проектов ГС'!W$4:W$563,'Перечень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N141" s="63">
        <f>SUMIFS('Перечень инв.проектов ГС'!X$4:X$563,'Перечень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O141" s="63">
        <f>SUMIFS('Перечень инв.проектов ГС'!Y$4:Y$563,'Перечень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P141" s="63">
        <f>SUMIFS('Перечень инв.проектов ГС'!Z$4:Z$563,'Перечень инв.проектов ГС'!$C$4:$C$563,'Программа инв. проектов'!$S141,'Перечень инв.проектов ГС'!$K$4:$K$563,$C141,'Перечень инв.проектов ГС'!$B$4:$B$563,'Программа инв. проектов'!$B$138)</f>
        <v>0</v>
      </c>
      <c r="Q141" s="78">
        <f t="shared" si="78"/>
        <v>0</v>
      </c>
      <c r="R141" s="13"/>
      <c r="S141" s="57" t="s">
        <v>153</v>
      </c>
      <c r="AE141" s="17"/>
    </row>
    <row r="142" spans="2:31" ht="38.25" x14ac:dyDescent="0.2">
      <c r="B142" s="471"/>
      <c r="C142" s="16" t="s">
        <v>155</v>
      </c>
      <c r="D142" s="63">
        <f>SUMIFS('Перечень инв.проектов ГС'!N$4:N$563,'Перечень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E142" s="63">
        <f>SUMIFS('Перечень инв.проектов ГС'!O$4:O$563,'Перечень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F142" s="63">
        <f>SUMIFS('Перечень инв.проектов ГС'!P$4:P$563,'Перечень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G142" s="63">
        <f>SUMIFS('Перечень инв.проектов ГС'!Q$4:Q$563,'Перечень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H142" s="63">
        <f>SUMIFS('Перечень инв.проектов ГС'!R$4:R$563,'Перечень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I142" s="63">
        <f>SUMIFS('Перечень инв.проектов ГС'!S$4:S$563,'Перечень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J142" s="63">
        <f>SUMIFS('Перечень инв.проектов ГС'!T$4:T$563,'Перечень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K142" s="63">
        <f>SUMIFS('Перечень инв.проектов ГС'!U$4:U$563,'Перечень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L142" s="63">
        <f>SUMIFS('Перечень инв.проектов ГС'!V$4:V$563,'Перечень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M142" s="63">
        <f>SUMIFS('Перечень инв.проектов ГС'!W$4:W$563,'Перечень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N142" s="63">
        <f>SUMIFS('Перечень инв.проектов ГС'!X$4:X$563,'Перечень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O142" s="63">
        <f>SUMIFS('Перечень инв.проектов ГС'!Y$4:Y$563,'Перечень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P142" s="63">
        <f>SUMIFS('Перечень инв.проектов ГС'!Z$4:Z$563,'Перечень инв.проектов ГС'!$C$4:$C$563,'Программа инв. проектов'!$S142,'Перечень инв.проектов ГС'!$K$4:$K$563,$C142,'Перечень инв.проектов ГС'!$B$4:$B$563,'Программа инв. проектов'!$B$138)</f>
        <v>0</v>
      </c>
      <c r="Q142" s="78">
        <f t="shared" si="78"/>
        <v>0</v>
      </c>
      <c r="R142" s="13"/>
      <c r="S142" s="57" t="s">
        <v>153</v>
      </c>
      <c r="AE142" s="17"/>
    </row>
    <row r="143" spans="2:31" ht="38.25" x14ac:dyDescent="0.2">
      <c r="B143" s="471"/>
      <c r="C143" s="16" t="s">
        <v>310</v>
      </c>
      <c r="D143" s="63">
        <f>SUMIFS('Перечень инв.проектов ГС'!N$4:N$563,'Перечень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E143" s="63">
        <f>SUMIFS('Перечень инв.проектов ГС'!O$4:O$563,'Перечень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F143" s="63">
        <f>SUMIFS('Перечень инв.проектов ГС'!P$4:P$563,'Перечень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G143" s="63">
        <f>SUMIFS('Перечень инв.проектов ГС'!Q$4:Q$563,'Перечень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H143" s="63">
        <f>SUMIFS('Перечень инв.проектов ГС'!R$4:R$563,'Перечень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I143" s="63">
        <f>SUMIFS('Перечень инв.проектов ГС'!S$4:S$563,'Перечень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J143" s="63">
        <f>SUMIFS('Перечень инв.проектов ГС'!T$4:T$563,'Перечень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K143" s="63">
        <f>SUMIFS('Перечень инв.проектов ГС'!U$4:U$563,'Перечень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L143" s="63">
        <f>SUMIFS('Перечень инв.проектов ГС'!V$4:V$563,'Перечень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M143" s="63">
        <f>SUMIFS('Перечень инв.проектов ГС'!W$4:W$563,'Перечень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N143" s="63">
        <f>SUMIFS('Перечень инв.проектов ГС'!X$4:X$563,'Перечень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O143" s="63">
        <f>SUMIFS('Перечень инв.проектов ГС'!Y$4:Y$563,'Перечень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P143" s="63">
        <f>SUMIFS('Перечень инв.проектов ГС'!Z$4:Z$563,'Перечень инв.проектов ГС'!$C$4:$C$563,'Программа инв. проектов'!$S143,'Перечень инв.проектов ГС'!$K$4:$K$563,$C143,'Перечень инв.проектов ГС'!$B$4:$B$563,'Программа инв. проектов'!$B$138)</f>
        <v>0</v>
      </c>
      <c r="Q143" s="78">
        <f t="shared" si="78"/>
        <v>0</v>
      </c>
      <c r="R143" s="13"/>
      <c r="S143" s="57" t="s">
        <v>153</v>
      </c>
      <c r="AE143" s="17"/>
    </row>
    <row r="144" spans="2:31" x14ac:dyDescent="0.2">
      <c r="B144" s="471" t="s">
        <v>164</v>
      </c>
      <c r="C144" s="73" t="s">
        <v>216</v>
      </c>
      <c r="D144" s="77">
        <f t="shared" ref="D144:Q144" si="80">SUM(D145:D148)</f>
        <v>0</v>
      </c>
      <c r="E144" s="77">
        <f t="shared" si="80"/>
        <v>0</v>
      </c>
      <c r="F144" s="77">
        <f t="shared" si="80"/>
        <v>0</v>
      </c>
      <c r="G144" s="77">
        <f t="shared" si="80"/>
        <v>0</v>
      </c>
      <c r="H144" s="77">
        <f t="shared" ref="H144:P144" si="81">SUM(H145:H148)</f>
        <v>0</v>
      </c>
      <c r="I144" s="77">
        <f t="shared" si="81"/>
        <v>0</v>
      </c>
      <c r="J144" s="77">
        <f t="shared" si="81"/>
        <v>0</v>
      </c>
      <c r="K144" s="77">
        <f t="shared" si="81"/>
        <v>0</v>
      </c>
      <c r="L144" s="77">
        <f t="shared" si="81"/>
        <v>0</v>
      </c>
      <c r="M144" s="77">
        <f t="shared" si="81"/>
        <v>0</v>
      </c>
      <c r="N144" s="77">
        <f t="shared" si="81"/>
        <v>0</v>
      </c>
      <c r="O144" s="77">
        <f t="shared" si="81"/>
        <v>0</v>
      </c>
      <c r="P144" s="77">
        <f t="shared" si="81"/>
        <v>0</v>
      </c>
      <c r="Q144" s="77">
        <f t="shared" si="80"/>
        <v>0</v>
      </c>
      <c r="R144" s="13"/>
      <c r="S144" s="69"/>
      <c r="AE144" s="17"/>
    </row>
    <row r="145" spans="2:31" x14ac:dyDescent="0.2">
      <c r="B145" s="471"/>
      <c r="C145" s="10" t="s">
        <v>163</v>
      </c>
      <c r="D145" s="63">
        <f>SUMIFS('Перечень инв.проектов ГС'!N$6:N$563,'Перечень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E145" s="63">
        <f>SUMIFS('Перечень инв.проектов ГС'!O$6:O$563,'Перечень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F145" s="63">
        <f>SUMIFS('Перечень инв.проектов ГС'!P$6:P$563,'Перечень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G145" s="63">
        <f>SUMIFS('Перечень инв.проектов ГС'!Q$6:Q$563,'Перечень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H145" s="63">
        <f>SUMIFS('Перечень инв.проектов ГС'!R$6:R$563,'Перечень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I145" s="63">
        <f>SUMIFS('Перечень инв.проектов ГС'!S$6:S$563,'Перечень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J145" s="63">
        <f>SUMIFS('Перечень инв.проектов ГС'!T$6:T$563,'Перечень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K145" s="63">
        <f>SUMIFS('Перечень инв.проектов ГС'!U$6:U$563,'Перечень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L145" s="63">
        <f>SUMIFS('Перечень инв.проектов ГС'!V$6:V$563,'Перечень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M145" s="63">
        <f>SUMIFS('Перечень инв.проектов ГС'!W$6:W$563,'Перечень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N145" s="63">
        <f>SUMIFS('Перечень инв.проектов ГС'!X$6:X$563,'Перечень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O145" s="63">
        <f>SUMIFS('Перечень инв.проектов ГС'!Y$6:Y$563,'Перечень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P145" s="63">
        <f>SUMIFS('Перечень инв.проектов ГС'!Z$6:Z$563,'Перечень инв.проектов ГС'!$C$6:$C$563,'Программа инв. проектов'!$S145,'Перечень инв.проектов ГС'!$K$6:$K$563,$C145,'Перечень инв.проектов ГС'!$B$6:$B$563,'Программа инв. проектов'!$B$138)</f>
        <v>0</v>
      </c>
      <c r="Q145" s="78">
        <f>SUM(D145:G145)</f>
        <v>0</v>
      </c>
      <c r="R145" s="13"/>
      <c r="S145" s="69" t="s">
        <v>164</v>
      </c>
      <c r="AE145" s="17"/>
    </row>
    <row r="146" spans="2:31" ht="25.5" x14ac:dyDescent="0.2">
      <c r="B146" s="471"/>
      <c r="C146" s="16" t="s">
        <v>166</v>
      </c>
      <c r="D146" s="63">
        <f>SUMIFS('Перечень инв.проектов ГС'!N$6:N$563,'Перечень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E146" s="63">
        <f>SUMIFS('Перечень инв.проектов ГС'!O$6:O$563,'Перечень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F146" s="63">
        <f>SUMIFS('Перечень инв.проектов ГС'!P$6:P$563,'Перечень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G146" s="63">
        <f>SUMIFS('Перечень инв.проектов ГС'!Q$6:Q$563,'Перечень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H146" s="63">
        <f>SUMIFS('Перечень инв.проектов ГС'!R$6:R$563,'Перечень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I146" s="63">
        <f>SUMIFS('Перечень инв.проектов ГС'!S$6:S$563,'Перечень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J146" s="63">
        <f>SUMIFS('Перечень инв.проектов ГС'!T$6:T$563,'Перечень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K146" s="63">
        <f>SUMIFS('Перечень инв.проектов ГС'!U$6:U$563,'Перечень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L146" s="63">
        <f>SUMIFS('Перечень инв.проектов ГС'!V$6:V$563,'Перечень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M146" s="63">
        <f>SUMIFS('Перечень инв.проектов ГС'!W$6:W$563,'Перечень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N146" s="63">
        <f>SUMIFS('Перечень инв.проектов ГС'!X$6:X$563,'Перечень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O146" s="63">
        <f>SUMIFS('Перечень инв.проектов ГС'!Y$6:Y$563,'Перечень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P146" s="63">
        <f>SUMIFS('Перечень инв.проектов ГС'!Z$6:Z$563,'Перечень инв.проектов ГС'!$C$6:$C$563,'Программа инв. проектов'!$S146,'Перечень инв.проектов ГС'!$K$6:$K$563,$C146,'Перечень инв.проектов ГС'!$B$6:$B$563,'Программа инв. проектов'!$B$138)</f>
        <v>0</v>
      </c>
      <c r="Q146" s="78">
        <f>SUM(D146:G146)</f>
        <v>0</v>
      </c>
      <c r="R146" s="13"/>
      <c r="S146" s="69" t="s">
        <v>164</v>
      </c>
      <c r="AE146" s="17"/>
    </row>
    <row r="147" spans="2:31" x14ac:dyDescent="0.2">
      <c r="B147" s="471"/>
      <c r="C147" s="16" t="s">
        <v>155</v>
      </c>
      <c r="D147" s="63">
        <f>SUMIFS('Перечень инв.проектов ГС'!N$6:N$563,'Перечень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E147" s="63">
        <f>SUMIFS('Перечень инв.проектов ГС'!O$6:O$563,'Перечень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F147" s="63">
        <f>SUMIFS('Перечень инв.проектов ГС'!P$6:P$563,'Перечень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G147" s="63">
        <f>SUMIFS('Перечень инв.проектов ГС'!Q$6:Q$563,'Перечень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H147" s="63">
        <f>SUMIFS('Перечень инв.проектов ГС'!R$6:R$563,'Перечень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I147" s="63">
        <f>SUMIFS('Перечень инв.проектов ГС'!S$6:S$563,'Перечень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J147" s="63">
        <f>SUMIFS('Перечень инв.проектов ГС'!T$6:T$563,'Перечень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K147" s="63">
        <f>SUMIFS('Перечень инв.проектов ГС'!U$6:U$563,'Перечень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L147" s="63">
        <f>SUMIFS('Перечень инв.проектов ГС'!V$6:V$563,'Перечень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M147" s="63">
        <f>SUMIFS('Перечень инв.проектов ГС'!W$6:W$563,'Перечень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N147" s="63">
        <f>SUMIFS('Перечень инв.проектов ГС'!X$6:X$563,'Перечень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O147" s="63">
        <f>SUMIFS('Перечень инв.проектов ГС'!Y$6:Y$563,'Перечень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P147" s="63">
        <f>SUMIFS('Перечень инв.проектов ГС'!Z$6:Z$563,'Перечень инв.проектов ГС'!$C$6:$C$563,'Программа инв. проектов'!$S147,'Перечень инв.проектов ГС'!$K$6:$K$563,$C147,'Перечень инв.проектов ГС'!$B$6:$B$563,'Программа инв. проектов'!$B$138)</f>
        <v>0</v>
      </c>
      <c r="Q147" s="78">
        <f>SUM(D147:G147)</f>
        <v>0</v>
      </c>
      <c r="R147" s="13"/>
      <c r="S147" s="69" t="s">
        <v>164</v>
      </c>
      <c r="AE147" s="17"/>
    </row>
    <row r="148" spans="2:31" x14ac:dyDescent="0.2">
      <c r="B148" s="471"/>
      <c r="C148" s="16" t="s">
        <v>310</v>
      </c>
      <c r="D148" s="63">
        <f>SUMIFS('Перечень инв.проектов ГС'!N$6:N$563,'Перечень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E148" s="63">
        <f>SUMIFS('Перечень инв.проектов ГС'!O$6:O$563,'Перечень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F148" s="63">
        <f>SUMIFS('Перечень инв.проектов ГС'!P$6:P$563,'Перечень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G148" s="63">
        <f>SUMIFS('Перечень инв.проектов ГС'!Q$6:Q$563,'Перечень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H148" s="63">
        <f>SUMIFS('Перечень инв.проектов ГС'!R$6:R$563,'Перечень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I148" s="63">
        <f>SUMIFS('Перечень инв.проектов ГС'!S$6:S$563,'Перечень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J148" s="63">
        <f>SUMIFS('Перечень инв.проектов ГС'!T$6:T$563,'Перечень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K148" s="63">
        <f>SUMIFS('Перечень инв.проектов ГС'!U$6:U$563,'Перечень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L148" s="63">
        <f>SUMIFS('Перечень инв.проектов ГС'!V$6:V$563,'Перечень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M148" s="63">
        <f>SUMIFS('Перечень инв.проектов ГС'!W$6:W$563,'Перечень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N148" s="63">
        <f>SUMIFS('Перечень инв.проектов ГС'!X$6:X$563,'Перечень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O148" s="63">
        <f>SUMIFS('Перечень инв.проектов ГС'!Y$6:Y$563,'Перечень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P148" s="63">
        <f>SUMIFS('Перечень инв.проектов ГС'!Z$6:Z$563,'Перечень инв.проектов ГС'!$C$6:$C$563,'Программа инв. проектов'!$S148,'Перечень инв.проектов ГС'!$K$6:$K$563,$C148,'Перечень инв.проектов ГС'!$B$6:$B$563,'Программа инв. проектов'!$B$138)</f>
        <v>0</v>
      </c>
      <c r="Q148" s="78">
        <f>SUM(D148:G148)</f>
        <v>0</v>
      </c>
      <c r="R148" s="13"/>
      <c r="S148" s="69" t="s">
        <v>164</v>
      </c>
      <c r="AE148" s="17"/>
    </row>
    <row r="149" spans="2:31" x14ac:dyDescent="0.2">
      <c r="B149" s="471" t="s">
        <v>185</v>
      </c>
      <c r="C149" s="73" t="s">
        <v>216</v>
      </c>
      <c r="D149" s="77">
        <f t="shared" ref="D149:Q149" si="82">SUM(D150:D153)</f>
        <v>0</v>
      </c>
      <c r="E149" s="77">
        <f t="shared" si="82"/>
        <v>0</v>
      </c>
      <c r="F149" s="77">
        <f t="shared" si="82"/>
        <v>0</v>
      </c>
      <c r="G149" s="77">
        <f t="shared" si="82"/>
        <v>0</v>
      </c>
      <c r="H149" s="77">
        <f t="shared" ref="H149:P149" si="83">SUM(H150:H153)</f>
        <v>0</v>
      </c>
      <c r="I149" s="77">
        <f t="shared" si="83"/>
        <v>0</v>
      </c>
      <c r="J149" s="77">
        <f t="shared" si="83"/>
        <v>0</v>
      </c>
      <c r="K149" s="77">
        <f t="shared" si="83"/>
        <v>0</v>
      </c>
      <c r="L149" s="77">
        <f t="shared" si="83"/>
        <v>0</v>
      </c>
      <c r="M149" s="77">
        <f t="shared" si="83"/>
        <v>0</v>
      </c>
      <c r="N149" s="77">
        <f t="shared" si="83"/>
        <v>0</v>
      </c>
      <c r="O149" s="77">
        <f t="shared" si="83"/>
        <v>0</v>
      </c>
      <c r="P149" s="77">
        <f t="shared" si="83"/>
        <v>0</v>
      </c>
      <c r="Q149" s="77">
        <f t="shared" si="82"/>
        <v>0</v>
      </c>
      <c r="R149" s="13"/>
      <c r="S149" s="69"/>
      <c r="AE149" s="17"/>
    </row>
    <row r="150" spans="2:31" x14ac:dyDescent="0.2">
      <c r="B150" s="471"/>
      <c r="C150" s="10" t="s">
        <v>163</v>
      </c>
      <c r="D150" s="63">
        <f>SUMIFS('Перечень инв.проектов ГС'!N$4:N$563,'Перечень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E150" s="63">
        <f>SUMIFS('Перечень инв.проектов ГС'!O$4:O$563,'Перечень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F150" s="63">
        <f>SUMIFS('Перечень инв.проектов ГС'!P$4:P$563,'Перечень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G150" s="63">
        <f>SUMIFS('Перечень инв.проектов ГС'!Q$4:Q$563,'Перечень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H150" s="63">
        <f>SUMIFS('Перечень инв.проектов ГС'!R$4:R$563,'Перечень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I150" s="63">
        <f>SUMIFS('Перечень инв.проектов ГС'!S$4:S$563,'Перечень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J150" s="63">
        <f>SUMIFS('Перечень инв.проектов ГС'!T$4:T$563,'Перечень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K150" s="63">
        <f>SUMIFS('Перечень инв.проектов ГС'!U$4:U$563,'Перечень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L150" s="63">
        <f>SUMIFS('Перечень инв.проектов ГС'!V$4:V$563,'Перечень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M150" s="63">
        <f>SUMIFS('Перечень инв.проектов ГС'!W$4:W$563,'Перечень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N150" s="63">
        <f>SUMIFS('Перечень инв.проектов ГС'!X$4:X$563,'Перечень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O150" s="63">
        <f>SUMIFS('Перечень инв.проектов ГС'!Y$4:Y$563,'Перечень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P150" s="63">
        <f>SUMIFS('Перечень инв.проектов ГС'!Z$4:Z$563,'Перечень инв.проектов ГС'!$C$4:$C$563,'Программа инв. проектов'!$S150,'Перечень инв.проектов ГС'!$K$4:$K$563,$C150,'Перечень инв.проектов ГС'!$B$4:$B$563,'Программа инв. проектов'!$B$138)</f>
        <v>0</v>
      </c>
      <c r="Q150" s="78">
        <f>SUM(D150:G150)</f>
        <v>0</v>
      </c>
      <c r="R150" s="13"/>
      <c r="S150" s="69" t="s">
        <v>185</v>
      </c>
      <c r="AE150" s="17"/>
    </row>
    <row r="151" spans="2:31" ht="25.5" x14ac:dyDescent="0.2">
      <c r="B151" s="471"/>
      <c r="C151" s="16" t="s">
        <v>166</v>
      </c>
      <c r="D151" s="63">
        <f>SUMIFS('Перечень инв.проектов ГС'!N$6:N$563,'Перечень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E151" s="63">
        <f>SUMIFS('Перечень инв.проектов ГС'!O$6:O$563,'Перечень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F151" s="63">
        <f>SUMIFS('Перечень инв.проектов ГС'!P$6:P$563,'Перечень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G151" s="63">
        <f>SUMIFS('Перечень инв.проектов ГС'!Q$6:Q$563,'Перечень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H151" s="63">
        <f>SUMIFS('Перечень инв.проектов ГС'!R$6:R$563,'Перечень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I151" s="63">
        <f>SUMIFS('Перечень инв.проектов ГС'!S$6:S$563,'Перечень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J151" s="63">
        <f>SUMIFS('Перечень инв.проектов ГС'!T$6:T$563,'Перечень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K151" s="63">
        <f>SUMIFS('Перечень инв.проектов ГС'!U$6:U$563,'Перечень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L151" s="63">
        <f>SUMIFS('Перечень инв.проектов ГС'!V$6:V$563,'Перечень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M151" s="63">
        <f>SUMIFS('Перечень инв.проектов ГС'!W$6:W$563,'Перечень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N151" s="63">
        <f>SUMIFS('Перечень инв.проектов ГС'!X$6:X$563,'Перечень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O151" s="63">
        <f>SUMIFS('Перечень инв.проектов ГС'!Y$6:Y$563,'Перечень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P151" s="63">
        <f>SUMIFS('Перечень инв.проектов ГС'!Z$6:Z$563,'Перечень инв.проектов ГС'!$C$6:$C$563,'Программа инв. проектов'!$S151,'Перечень инв.проектов ГС'!$K$6:$K$563,$C151,'Перечень инв.проектов ГС'!$B$6:$B$563,'Программа инв. проектов'!$B$138)</f>
        <v>0</v>
      </c>
      <c r="Q151" s="78">
        <f>SUM(D151:G151)</f>
        <v>0</v>
      </c>
      <c r="R151" s="13"/>
      <c r="S151" s="69" t="s">
        <v>185</v>
      </c>
      <c r="AE151" s="17"/>
    </row>
    <row r="152" spans="2:31" x14ac:dyDescent="0.2">
      <c r="B152" s="471"/>
      <c r="C152" s="16" t="s">
        <v>155</v>
      </c>
      <c r="D152" s="63">
        <f>SUMIFS('Перечень инв.проектов ГС'!N$6:N$563,'Перечень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E152" s="63">
        <f>SUMIFS('Перечень инв.проектов ГС'!O$6:O$563,'Перечень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F152" s="63">
        <f>SUMIFS('Перечень инв.проектов ГС'!P$6:P$563,'Перечень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G152" s="63">
        <f>SUMIFS('Перечень инв.проектов ГС'!Q$6:Q$563,'Перечень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H152" s="63">
        <f>SUMIFS('Перечень инв.проектов ГС'!R$6:R$563,'Перечень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I152" s="63">
        <f>SUMIFS('Перечень инв.проектов ГС'!S$6:S$563,'Перечень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J152" s="63">
        <f>SUMIFS('Перечень инв.проектов ГС'!T$6:T$563,'Перечень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K152" s="63">
        <f>SUMIFS('Перечень инв.проектов ГС'!U$6:U$563,'Перечень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L152" s="63">
        <f>SUMIFS('Перечень инв.проектов ГС'!V$6:V$563,'Перечень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M152" s="63">
        <f>SUMIFS('Перечень инв.проектов ГС'!W$6:W$563,'Перечень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N152" s="63">
        <f>SUMIFS('Перечень инв.проектов ГС'!X$6:X$563,'Перечень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O152" s="63">
        <f>SUMIFS('Перечень инв.проектов ГС'!Y$6:Y$563,'Перечень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P152" s="63">
        <f>SUMIFS('Перечень инв.проектов ГС'!Z$6:Z$563,'Перечень инв.проектов ГС'!$C$6:$C$563,'Программа инв. проектов'!$S152,'Перечень инв.проектов ГС'!$K$6:$K$563,$C152,'Перечень инв.проектов ГС'!$B$6:$B$563,'Программа инв. проектов'!$B$138)</f>
        <v>0</v>
      </c>
      <c r="Q152" s="78">
        <f>SUM(D152:G152)</f>
        <v>0</v>
      </c>
      <c r="R152" s="13"/>
      <c r="S152" s="69" t="s">
        <v>185</v>
      </c>
      <c r="AE152" s="17"/>
    </row>
    <row r="153" spans="2:31" x14ac:dyDescent="0.2">
      <c r="B153" s="471"/>
      <c r="C153" s="16" t="s">
        <v>310</v>
      </c>
      <c r="D153" s="63">
        <f>SUMIFS('Перечень инв.проектов ГС'!N$6:N$563,'Перечень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E153" s="63">
        <f>SUMIFS('Перечень инв.проектов ГС'!O$6:O$563,'Перечень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F153" s="63">
        <f>SUMIFS('Перечень инв.проектов ГС'!P$6:P$563,'Перечень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G153" s="63">
        <f>SUMIFS('Перечень инв.проектов ГС'!Q$6:Q$563,'Перечень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H153" s="63">
        <f>SUMIFS('Перечень инв.проектов ГС'!R$6:R$563,'Перечень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I153" s="63">
        <f>SUMIFS('Перечень инв.проектов ГС'!S$6:S$563,'Перечень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J153" s="63">
        <f>SUMIFS('Перечень инв.проектов ГС'!T$6:T$563,'Перечень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K153" s="63">
        <f>SUMIFS('Перечень инв.проектов ГС'!U$6:U$563,'Перечень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L153" s="63">
        <f>SUMIFS('Перечень инв.проектов ГС'!V$6:V$563,'Перечень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M153" s="63">
        <f>SUMIFS('Перечень инв.проектов ГС'!W$6:W$563,'Перечень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N153" s="63">
        <f>SUMIFS('Перечень инв.проектов ГС'!X$6:X$563,'Перечень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O153" s="63">
        <f>SUMIFS('Перечень инв.проектов ГС'!Y$6:Y$563,'Перечень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P153" s="63">
        <f>SUMIFS('Перечень инв.проектов ГС'!Z$6:Z$563,'Перечень инв.проектов ГС'!$C$6:$C$563,'Программа инв. проектов'!$S153,'Перечень инв.проектов ГС'!$K$6:$K$563,$C153,'Перечень инв.проектов ГС'!$B$6:$B$563,'Программа инв. проектов'!$B$138)</f>
        <v>0</v>
      </c>
      <c r="Q153" s="78">
        <f>SUM(D153:G153)</f>
        <v>0</v>
      </c>
      <c r="R153" s="13"/>
      <c r="S153" s="69" t="s">
        <v>185</v>
      </c>
      <c r="AE153" s="17"/>
    </row>
    <row r="154" spans="2:31" x14ac:dyDescent="0.2">
      <c r="B154" s="471" t="s">
        <v>168</v>
      </c>
      <c r="C154" s="73" t="s">
        <v>216</v>
      </c>
      <c r="D154" s="77">
        <f t="shared" ref="D154:Q154" si="84">SUM(D155:D158)</f>
        <v>0</v>
      </c>
      <c r="E154" s="77">
        <f t="shared" si="84"/>
        <v>0</v>
      </c>
      <c r="F154" s="77">
        <f t="shared" si="84"/>
        <v>0</v>
      </c>
      <c r="G154" s="77">
        <f t="shared" si="84"/>
        <v>0</v>
      </c>
      <c r="H154" s="77">
        <f t="shared" ref="H154:P154" si="85">SUM(H155:H158)</f>
        <v>0</v>
      </c>
      <c r="I154" s="77">
        <f t="shared" si="85"/>
        <v>0</v>
      </c>
      <c r="J154" s="77">
        <f t="shared" si="85"/>
        <v>0</v>
      </c>
      <c r="K154" s="77">
        <f t="shared" si="85"/>
        <v>0</v>
      </c>
      <c r="L154" s="77">
        <f t="shared" si="85"/>
        <v>0</v>
      </c>
      <c r="M154" s="77">
        <f t="shared" si="85"/>
        <v>0</v>
      </c>
      <c r="N154" s="77">
        <f t="shared" si="85"/>
        <v>0</v>
      </c>
      <c r="O154" s="77">
        <f t="shared" si="85"/>
        <v>0</v>
      </c>
      <c r="P154" s="77">
        <f t="shared" si="85"/>
        <v>0</v>
      </c>
      <c r="Q154" s="77">
        <f t="shared" si="84"/>
        <v>0</v>
      </c>
      <c r="R154" s="13"/>
      <c r="S154" s="69"/>
      <c r="AE154" s="17"/>
    </row>
    <row r="155" spans="2:31" x14ac:dyDescent="0.2">
      <c r="B155" s="471"/>
      <c r="C155" s="10" t="s">
        <v>163</v>
      </c>
      <c r="D155" s="63">
        <f>SUMIFS('Перечень инв.проектов ГС'!N$6:N$563,'Перечень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E155" s="63">
        <f>SUMIFS('Перечень инв.проектов ГС'!O$6:O$563,'Перечень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F155" s="63">
        <f>SUMIFS('Перечень инв.проектов ГС'!P$6:P$563,'Перечень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G155" s="63">
        <f>SUMIFS('Перечень инв.проектов ГС'!Q$6:Q$563,'Перечень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H155" s="63">
        <f>SUMIFS('Перечень инв.проектов ГС'!R$6:R$563,'Перечень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I155" s="63">
        <f>SUMIFS('Перечень инв.проектов ГС'!S$6:S$563,'Перечень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J155" s="63">
        <f>SUMIFS('Перечень инв.проектов ГС'!T$6:T$563,'Перечень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K155" s="63">
        <f>SUMIFS('Перечень инв.проектов ГС'!U$6:U$563,'Перечень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L155" s="63">
        <f>SUMIFS('Перечень инв.проектов ГС'!V$6:V$563,'Перечень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M155" s="63">
        <f>SUMIFS('Перечень инв.проектов ГС'!W$6:W$563,'Перечень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N155" s="63">
        <f>SUMIFS('Перечень инв.проектов ГС'!X$6:X$563,'Перечень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O155" s="63">
        <f>SUMIFS('Перечень инв.проектов ГС'!Y$6:Y$563,'Перечень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P155" s="63">
        <f>SUMIFS('Перечень инв.проектов ГС'!Z$6:Z$563,'Перечень инв.проектов ГС'!$C$6:$C$563,'Программа инв. проектов'!$S155,'Перечень инв.проектов ГС'!$K$6:$K$563,$C155,'Перечень инв.проектов ГС'!$B$6:$B$563,'Программа инв. проектов'!$B$138)</f>
        <v>0</v>
      </c>
      <c r="Q155" s="78">
        <f>SUM(D155:G155)</f>
        <v>0</v>
      </c>
      <c r="R155" s="13"/>
      <c r="S155" s="69" t="s">
        <v>168</v>
      </c>
      <c r="AE155" s="17"/>
    </row>
    <row r="156" spans="2:31" ht="25.5" x14ac:dyDescent="0.2">
      <c r="B156" s="471"/>
      <c r="C156" s="16" t="s">
        <v>166</v>
      </c>
      <c r="D156" s="63">
        <f>SUMIFS('Перечень инв.проектов ГС'!N$6:N$563,'Перечень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E156" s="63">
        <f>SUMIFS('Перечень инв.проектов ГС'!O$6:O$563,'Перечень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F156" s="63">
        <f>SUMIFS('Перечень инв.проектов ГС'!P$6:P$563,'Перечень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G156" s="63">
        <f>SUMIFS('Перечень инв.проектов ГС'!Q$6:Q$563,'Перечень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H156" s="63">
        <f>SUMIFS('Перечень инв.проектов ГС'!R$6:R$563,'Перечень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I156" s="63">
        <f>SUMIFS('Перечень инв.проектов ГС'!S$6:S$563,'Перечень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J156" s="63">
        <f>SUMIFS('Перечень инв.проектов ГС'!T$6:T$563,'Перечень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K156" s="63">
        <f>SUMIFS('Перечень инв.проектов ГС'!U$6:U$563,'Перечень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L156" s="63">
        <f>SUMIFS('Перечень инв.проектов ГС'!V$6:V$563,'Перечень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M156" s="63">
        <f>SUMIFS('Перечень инв.проектов ГС'!W$6:W$563,'Перечень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N156" s="63">
        <f>SUMIFS('Перечень инв.проектов ГС'!X$6:X$563,'Перечень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O156" s="63">
        <f>SUMIFS('Перечень инв.проектов ГС'!Y$6:Y$563,'Перечень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P156" s="63">
        <f>SUMIFS('Перечень инв.проектов ГС'!Z$6:Z$563,'Перечень инв.проектов ГС'!$C$6:$C$563,'Программа инв. проектов'!$S156,'Перечень инв.проектов ГС'!$K$6:$K$563,$C156,'Перечень инв.проектов ГС'!$B$6:$B$563,'Программа инв. проектов'!$B$138)</f>
        <v>0</v>
      </c>
      <c r="Q156" s="78">
        <f>SUM(D156:G156)</f>
        <v>0</v>
      </c>
      <c r="R156" s="13"/>
      <c r="S156" s="69" t="s">
        <v>168</v>
      </c>
      <c r="AE156" s="17"/>
    </row>
    <row r="157" spans="2:31" x14ac:dyDescent="0.2">
      <c r="B157" s="471"/>
      <c r="C157" s="16" t="s">
        <v>155</v>
      </c>
      <c r="D157" s="63">
        <f>SUMIFS('Перечень инв.проектов ГС'!N$6:N$563,'Перечень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E157" s="63">
        <f>SUMIFS('Перечень инв.проектов ГС'!O$6:O$563,'Перечень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F157" s="63">
        <f>SUMIFS('Перечень инв.проектов ГС'!P$6:P$563,'Перечень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G157" s="63">
        <f>SUMIFS('Перечень инв.проектов ГС'!Q$6:Q$563,'Перечень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H157" s="63">
        <f>SUMIFS('Перечень инв.проектов ГС'!R$6:R$563,'Перечень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I157" s="63">
        <f>SUMIFS('Перечень инв.проектов ГС'!S$6:S$563,'Перечень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J157" s="63">
        <f>SUMIFS('Перечень инв.проектов ГС'!T$6:T$563,'Перечень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K157" s="63">
        <f>SUMIFS('Перечень инв.проектов ГС'!U$6:U$563,'Перечень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L157" s="63">
        <f>SUMIFS('Перечень инв.проектов ГС'!V$6:V$563,'Перечень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M157" s="63">
        <f>SUMIFS('Перечень инв.проектов ГС'!W$6:W$563,'Перечень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N157" s="63">
        <f>SUMIFS('Перечень инв.проектов ГС'!X$6:X$563,'Перечень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O157" s="63">
        <f>SUMIFS('Перечень инв.проектов ГС'!Y$6:Y$563,'Перечень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P157" s="63">
        <f>SUMIFS('Перечень инв.проектов ГС'!Z$6:Z$563,'Перечень инв.проектов ГС'!$C$6:$C$563,'Программа инв. проектов'!$S157,'Перечень инв.проектов ГС'!$K$6:$K$563,$C157,'Перечень инв.проектов ГС'!$B$6:$B$563,'Программа инв. проектов'!$B$138)</f>
        <v>0</v>
      </c>
      <c r="Q157" s="78">
        <f>SUM(D157:G157)</f>
        <v>0</v>
      </c>
      <c r="R157" s="13"/>
      <c r="S157" s="69" t="s">
        <v>168</v>
      </c>
      <c r="AE157" s="17"/>
    </row>
    <row r="158" spans="2:31" x14ac:dyDescent="0.2">
      <c r="B158" s="471"/>
      <c r="C158" s="16" t="s">
        <v>310</v>
      </c>
      <c r="D158" s="63">
        <f>SUMIFS('Перечень инв.проектов ГС'!N$6:N$563,'Перечень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E158" s="63">
        <f>SUMIFS('Перечень инв.проектов ГС'!O$6:O$563,'Перечень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F158" s="63">
        <f>SUMIFS('Перечень инв.проектов ГС'!P$6:P$563,'Перечень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G158" s="63">
        <f>SUMIFS('Перечень инв.проектов ГС'!Q$6:Q$563,'Перечень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H158" s="63">
        <f>SUMIFS('Перечень инв.проектов ГС'!R$6:R$563,'Перечень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I158" s="63">
        <f>SUMIFS('Перечень инв.проектов ГС'!S$6:S$563,'Перечень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J158" s="63">
        <f>SUMIFS('Перечень инв.проектов ГС'!T$6:T$563,'Перечень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K158" s="63">
        <f>SUMIFS('Перечень инв.проектов ГС'!U$6:U$563,'Перечень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L158" s="63">
        <f>SUMIFS('Перечень инв.проектов ГС'!V$6:V$563,'Перечень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M158" s="63">
        <f>SUMIFS('Перечень инв.проектов ГС'!W$6:W$563,'Перечень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N158" s="63">
        <f>SUMIFS('Перечень инв.проектов ГС'!X$6:X$563,'Перечень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O158" s="63">
        <f>SUMIFS('Перечень инв.проектов ГС'!Y$6:Y$563,'Перечень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P158" s="63">
        <f>SUMIFS('Перечень инв.проектов ГС'!Z$6:Z$563,'Перечень инв.проектов ГС'!$C$6:$C$563,'Программа инв. проектов'!$S158,'Перечень инв.проектов ГС'!$K$6:$K$563,$C158,'Перечень инв.проектов ГС'!$B$6:$B$563,'Программа инв. проектов'!$B$138)</f>
        <v>0</v>
      </c>
      <c r="Q158" s="78">
        <f>SUM(D158:G158)</f>
        <v>0</v>
      </c>
      <c r="R158" s="13"/>
      <c r="S158" s="69" t="s">
        <v>168</v>
      </c>
      <c r="AE158" s="17"/>
    </row>
    <row r="159" spans="2:31" x14ac:dyDescent="0.2">
      <c r="B159" s="471" t="s">
        <v>218</v>
      </c>
      <c r="C159" s="73" t="s">
        <v>216</v>
      </c>
      <c r="D159" s="77">
        <f t="shared" ref="D159:Q159" si="86">SUM(D160:D162)</f>
        <v>0</v>
      </c>
      <c r="E159" s="77">
        <f t="shared" si="86"/>
        <v>0</v>
      </c>
      <c r="F159" s="77">
        <f t="shared" si="86"/>
        <v>0</v>
      </c>
      <c r="G159" s="77">
        <f t="shared" si="86"/>
        <v>0</v>
      </c>
      <c r="H159" s="77">
        <f t="shared" ref="H159:P159" si="87">SUM(H160:H162)</f>
        <v>0</v>
      </c>
      <c r="I159" s="77">
        <f t="shared" si="87"/>
        <v>0</v>
      </c>
      <c r="J159" s="77">
        <f t="shared" si="87"/>
        <v>0</v>
      </c>
      <c r="K159" s="77">
        <f t="shared" si="87"/>
        <v>0</v>
      </c>
      <c r="L159" s="77">
        <f t="shared" si="87"/>
        <v>0</v>
      </c>
      <c r="M159" s="77">
        <f t="shared" si="87"/>
        <v>0</v>
      </c>
      <c r="N159" s="77">
        <f t="shared" si="87"/>
        <v>0</v>
      </c>
      <c r="O159" s="77">
        <f t="shared" si="87"/>
        <v>0</v>
      </c>
      <c r="P159" s="77">
        <f t="shared" si="87"/>
        <v>0</v>
      </c>
      <c r="Q159" s="77">
        <f t="shared" si="86"/>
        <v>0</v>
      </c>
      <c r="R159" s="13"/>
      <c r="S159" s="69"/>
      <c r="AE159" s="17"/>
    </row>
    <row r="160" spans="2:31" ht="25.5" x14ac:dyDescent="0.2">
      <c r="B160" s="471"/>
      <c r="C160" s="74" t="s">
        <v>222</v>
      </c>
      <c r="D160" s="79">
        <f>SUMIFS('Перечень инв.проектов ГС'!N$4:N$563,'Перечень инв.проектов ГС'!$D$4:$D$563,'Программа инв. проектов'!$S160,'Перечень инв.проектов ГС'!$B$4:$B$563,'Программа инв. проектов'!$B$138)</f>
        <v>0</v>
      </c>
      <c r="E160" s="79">
        <f>SUMIFS('Перечень инв.проектов ГС'!O$4:O$563,'Перечень инв.проектов ГС'!$D$4:$D$563,'Программа инв. проектов'!$S160,'Перечень инв.проектов ГС'!$B$4:$B$563,'Программа инв. проектов'!$B$138)</f>
        <v>0</v>
      </c>
      <c r="F160" s="79">
        <f>SUMIFS('Перечень инв.проектов ГС'!P$4:P$563,'Перечень инв.проектов ГС'!$D$4:$D$563,'Программа инв. проектов'!$S160,'Перечень инв.проектов ГС'!$B$4:$B$563,'Программа инв. проектов'!$B$138)</f>
        <v>0</v>
      </c>
      <c r="G160" s="79">
        <f>SUMIFS('Перечень инв.проектов ГС'!Q$4:Q$563,'Перечень инв.проектов ГС'!$D$4:$D$563,'Программа инв. проектов'!$S160,'Перечень инв.проектов ГС'!$B$4:$B$563,'Программа инв. проектов'!$B$138)</f>
        <v>0</v>
      </c>
      <c r="H160" s="79">
        <f>SUMIFS('Перечень инв.проектов ГС'!R$4:R$563,'Перечень инв.проектов ГС'!$D$4:$D$563,'Программа инв. проектов'!$S160,'Перечень инв.проектов ГС'!$B$4:$B$563,'Программа инв. проектов'!$B$138)</f>
        <v>0</v>
      </c>
      <c r="I160" s="79">
        <f>SUMIFS('Перечень инв.проектов ГС'!S$4:S$563,'Перечень инв.проектов ГС'!$D$4:$D$563,'Программа инв. проектов'!$S160,'Перечень инв.проектов ГС'!$B$4:$B$563,'Программа инв. проектов'!$B$138)</f>
        <v>0</v>
      </c>
      <c r="J160" s="79">
        <f>SUMIFS('Перечень инв.проектов ГС'!T$4:T$563,'Перечень инв.проектов ГС'!$D$4:$D$563,'Программа инв. проектов'!$S160,'Перечень инв.проектов ГС'!$B$4:$B$563,'Программа инв. проектов'!$B$138)</f>
        <v>0</v>
      </c>
      <c r="K160" s="79">
        <f>SUMIFS('Перечень инв.проектов ГС'!U$4:U$563,'Перечень инв.проектов ГС'!$D$4:$D$563,'Программа инв. проектов'!$S160,'Перечень инв.проектов ГС'!$B$4:$B$563,'Программа инв. проектов'!$B$138)</f>
        <v>0</v>
      </c>
      <c r="L160" s="79">
        <f>SUMIFS('Перечень инв.проектов ГС'!V$4:V$563,'Перечень инв.проектов ГС'!$D$4:$D$563,'Программа инв. проектов'!$S160,'Перечень инв.проектов ГС'!$B$4:$B$563,'Программа инв. проектов'!$B$138)</f>
        <v>0</v>
      </c>
      <c r="M160" s="79">
        <f>SUMIFS('Перечень инв.проектов ГС'!W$4:W$563,'Перечень инв.проектов ГС'!$D$4:$D$563,'Программа инв. проектов'!$S160,'Перечень инв.проектов ГС'!$B$4:$B$563,'Программа инв. проектов'!$B$138)</f>
        <v>0</v>
      </c>
      <c r="N160" s="79">
        <f>SUMIFS('Перечень инв.проектов ГС'!X$4:X$563,'Перечень инв.проектов ГС'!$D$4:$D$563,'Программа инв. проектов'!$S160,'Перечень инв.проектов ГС'!$B$4:$B$563,'Программа инв. проектов'!$B$138)</f>
        <v>0</v>
      </c>
      <c r="O160" s="79">
        <f>SUMIFS('Перечень инв.проектов ГС'!Y$4:Y$563,'Перечень инв.проектов ГС'!$D$4:$D$563,'Программа инв. проектов'!$S160,'Перечень инв.проектов ГС'!$B$4:$B$563,'Программа инв. проектов'!$B$138)</f>
        <v>0</v>
      </c>
      <c r="P160" s="79">
        <f>SUMIFS('Перечень инв.проектов ГС'!Z$4:Z$563,'Перечень инв.проектов ГС'!$D$4:$D$563,'Программа инв. проектов'!$S160,'Перечень инв.проектов ГС'!$B$4:$B$563,'Программа инв. проектов'!$B$138)</f>
        <v>0</v>
      </c>
      <c r="Q160" s="78">
        <f>SUM(D160:G160)</f>
        <v>0</v>
      </c>
      <c r="R160" s="13"/>
      <c r="S160" s="69" t="s">
        <v>154</v>
      </c>
      <c r="AE160" s="17"/>
    </row>
    <row r="161" spans="2:32" ht="25.5" x14ac:dyDescent="0.2">
      <c r="B161" s="471"/>
      <c r="C161" s="74" t="s">
        <v>223</v>
      </c>
      <c r="D161" s="79">
        <f>SUMIFS('Перечень инв.проектов ГС'!N$4:N$563,'Перечень инв.проектов ГС'!$D$4:$D$563,'Программа инв. проектов'!$S161,'Перечень инв.проектов ГС'!$B$4:$B$563,'Программа инв. проектов'!$B$138)</f>
        <v>0</v>
      </c>
      <c r="E161" s="79">
        <f>SUMIFS('Перечень инв.проектов ГС'!O$4:O$563,'Перечень инв.проектов ГС'!$D$4:$D$563,'Программа инв. проектов'!$S161,'Перечень инв.проектов ГС'!$B$4:$B$563,'Программа инв. проектов'!$B$138)</f>
        <v>0</v>
      </c>
      <c r="F161" s="79">
        <f>SUMIFS('Перечень инв.проектов ГС'!P$4:P$563,'Перечень инв.проектов ГС'!$D$4:$D$563,'Программа инв. проектов'!$S161,'Перечень инв.проектов ГС'!$B$4:$B$563,'Программа инв. проектов'!$B$138)</f>
        <v>0</v>
      </c>
      <c r="G161" s="79">
        <f>SUMIFS('Перечень инв.проектов ГС'!Q$4:Q$563,'Перечень инв.проектов ГС'!$D$4:$D$563,'Программа инв. проектов'!$S161,'Перечень инв.проектов ГС'!$B$4:$B$563,'Программа инв. проектов'!$B$138)</f>
        <v>0</v>
      </c>
      <c r="H161" s="79">
        <f>SUMIFS('Перечень инв.проектов ГС'!R$4:R$563,'Перечень инв.проектов ГС'!$D$4:$D$563,'Программа инв. проектов'!$S161,'Перечень инв.проектов ГС'!$B$4:$B$563,'Программа инв. проектов'!$B$138)</f>
        <v>0</v>
      </c>
      <c r="I161" s="79">
        <f>SUMIFS('Перечень инв.проектов ГС'!S$4:S$563,'Перечень инв.проектов ГС'!$D$4:$D$563,'Программа инв. проектов'!$S161,'Перечень инв.проектов ГС'!$B$4:$B$563,'Программа инв. проектов'!$B$138)</f>
        <v>0</v>
      </c>
      <c r="J161" s="79">
        <f>SUMIFS('Перечень инв.проектов ГС'!T$4:T$563,'Перечень инв.проектов ГС'!$D$4:$D$563,'Программа инв. проектов'!$S161,'Перечень инв.проектов ГС'!$B$4:$B$563,'Программа инв. проектов'!$B$138)</f>
        <v>0</v>
      </c>
      <c r="K161" s="79">
        <f>SUMIFS('Перечень инв.проектов ГС'!U$4:U$563,'Перечень инв.проектов ГС'!$D$4:$D$563,'Программа инв. проектов'!$S161,'Перечень инв.проектов ГС'!$B$4:$B$563,'Программа инв. проектов'!$B$138)</f>
        <v>0</v>
      </c>
      <c r="L161" s="79">
        <f>SUMIFS('Перечень инв.проектов ГС'!V$4:V$563,'Перечень инв.проектов ГС'!$D$4:$D$563,'Программа инв. проектов'!$S161,'Перечень инв.проектов ГС'!$B$4:$B$563,'Программа инв. проектов'!$B$138)</f>
        <v>0</v>
      </c>
      <c r="M161" s="79">
        <f>SUMIFS('Перечень инв.проектов ГС'!W$4:W$563,'Перечень инв.проектов ГС'!$D$4:$D$563,'Программа инв. проектов'!$S161,'Перечень инв.проектов ГС'!$B$4:$B$563,'Программа инв. проектов'!$B$138)</f>
        <v>0</v>
      </c>
      <c r="N161" s="79">
        <f>SUMIFS('Перечень инв.проектов ГС'!X$4:X$563,'Перечень инв.проектов ГС'!$D$4:$D$563,'Программа инв. проектов'!$S161,'Перечень инв.проектов ГС'!$B$4:$B$563,'Программа инв. проектов'!$B$138)</f>
        <v>0</v>
      </c>
      <c r="O161" s="79">
        <f>SUMIFS('Перечень инв.проектов ГС'!Y$4:Y$563,'Перечень инв.проектов ГС'!$D$4:$D$563,'Программа инв. проектов'!$S161,'Перечень инв.проектов ГС'!$B$4:$B$563,'Программа инв. проектов'!$B$138)</f>
        <v>0</v>
      </c>
      <c r="P161" s="79">
        <f>SUMIFS('Перечень инв.проектов ГС'!Z$4:Z$563,'Перечень инв.проектов ГС'!$D$4:$D$563,'Программа инв. проектов'!$S161,'Перечень инв.проектов ГС'!$B$4:$B$563,'Программа инв. проектов'!$B$138)</f>
        <v>0</v>
      </c>
      <c r="Q161" s="78">
        <f>SUM(D161:G161)</f>
        <v>0</v>
      </c>
      <c r="R161" s="13"/>
      <c r="S161" s="69" t="s">
        <v>162</v>
      </c>
      <c r="AE161" s="17"/>
    </row>
    <row r="162" spans="2:32" ht="25.5" x14ac:dyDescent="0.2">
      <c r="B162" s="471"/>
      <c r="C162" s="74" t="s">
        <v>221</v>
      </c>
      <c r="D162" s="79">
        <f>SUMIFS('Перечень инв.проектов ГС'!N$4:N$563,'Перечень инв.проектов ГС'!$D$4:$D$563,'Программа инв. проектов'!$S162,'Перечень инв.проектов ГС'!$B$4:$B$563,'Программа инв. проектов'!$B$138)</f>
        <v>0</v>
      </c>
      <c r="E162" s="79">
        <f>SUMIFS('Перечень инв.проектов ГС'!O$4:O$563,'Перечень инв.проектов ГС'!$D$4:$D$563,'Программа инв. проектов'!$S162,'Перечень инв.проектов ГС'!$B$4:$B$563,'Программа инв. проектов'!$B$138)</f>
        <v>0</v>
      </c>
      <c r="F162" s="79">
        <f>SUMIFS('Перечень инв.проектов ГС'!P$4:P$563,'Перечень инв.проектов ГС'!$D$4:$D$563,'Программа инв. проектов'!$S162,'Перечень инв.проектов ГС'!$B$4:$B$563,'Программа инв. проектов'!$B$138)</f>
        <v>0</v>
      </c>
      <c r="G162" s="79">
        <f>SUMIFS('Перечень инв.проектов ГС'!Q$4:Q$563,'Перечень инв.проектов ГС'!$D$4:$D$563,'Программа инв. проектов'!$S162,'Перечень инв.проектов ГС'!$B$4:$B$563,'Программа инв. проектов'!$B$138)</f>
        <v>0</v>
      </c>
      <c r="H162" s="79">
        <f>SUMIFS('Перечень инв.проектов ГС'!R$4:R$563,'Перечень инв.проектов ГС'!$D$4:$D$563,'Программа инв. проектов'!$S162,'Перечень инв.проектов ГС'!$B$4:$B$563,'Программа инв. проектов'!$B$138)</f>
        <v>0</v>
      </c>
      <c r="I162" s="79">
        <f>SUMIFS('Перечень инв.проектов ГС'!S$4:S$563,'Перечень инв.проектов ГС'!$D$4:$D$563,'Программа инв. проектов'!$S162,'Перечень инв.проектов ГС'!$B$4:$B$563,'Программа инв. проектов'!$B$138)</f>
        <v>0</v>
      </c>
      <c r="J162" s="79">
        <f>SUMIFS('Перечень инв.проектов ГС'!T$4:T$563,'Перечень инв.проектов ГС'!$D$4:$D$563,'Программа инв. проектов'!$S162,'Перечень инв.проектов ГС'!$B$4:$B$563,'Программа инв. проектов'!$B$138)</f>
        <v>0</v>
      </c>
      <c r="K162" s="79">
        <f>SUMIFS('Перечень инв.проектов ГС'!U$4:U$563,'Перечень инв.проектов ГС'!$D$4:$D$563,'Программа инв. проектов'!$S162,'Перечень инв.проектов ГС'!$B$4:$B$563,'Программа инв. проектов'!$B$138)</f>
        <v>0</v>
      </c>
      <c r="L162" s="79">
        <f>SUMIFS('Перечень инв.проектов ГС'!V$4:V$563,'Перечень инв.проектов ГС'!$D$4:$D$563,'Программа инв. проектов'!$S162,'Перечень инв.проектов ГС'!$B$4:$B$563,'Программа инв. проектов'!$B$138)</f>
        <v>0</v>
      </c>
      <c r="M162" s="79">
        <f>SUMIFS('Перечень инв.проектов ГС'!W$4:W$563,'Перечень инв.проектов ГС'!$D$4:$D$563,'Программа инв. проектов'!$S162,'Перечень инв.проектов ГС'!$B$4:$B$563,'Программа инв. проектов'!$B$138)</f>
        <v>0</v>
      </c>
      <c r="N162" s="79">
        <f>SUMIFS('Перечень инв.проектов ГС'!X$4:X$563,'Перечень инв.проектов ГС'!$D$4:$D$563,'Программа инв. проектов'!$S162,'Перечень инв.проектов ГС'!$B$4:$B$563,'Программа инв. проектов'!$B$138)</f>
        <v>0</v>
      </c>
      <c r="O162" s="79">
        <f>SUMIFS('Перечень инв.проектов ГС'!Y$4:Y$563,'Перечень инв.проектов ГС'!$D$4:$D$563,'Программа инв. проектов'!$S162,'Перечень инв.проектов ГС'!$B$4:$B$563,'Программа инв. проектов'!$B$138)</f>
        <v>0</v>
      </c>
      <c r="P162" s="79">
        <f>SUMIFS('Перечень инв.проектов ГС'!Z$4:Z$563,'Перечень инв.проектов ГС'!$D$4:$D$563,'Программа инв. проектов'!$S162,'Перечень инв.проектов ГС'!$B$4:$B$563,'Программа инв. проектов'!$B$138)</f>
        <v>0</v>
      </c>
      <c r="Q162" s="78">
        <f>SUM(D162:G162)</f>
        <v>0</v>
      </c>
      <c r="R162" s="13"/>
      <c r="S162" s="69" t="s">
        <v>165</v>
      </c>
      <c r="AE162" s="17"/>
    </row>
    <row r="163" spans="2:32" ht="13.5" x14ac:dyDescent="0.2">
      <c r="B163" s="477" t="s">
        <v>224</v>
      </c>
      <c r="C163" s="477"/>
      <c r="D163" s="52">
        <f>SUM(D164)</f>
        <v>0</v>
      </c>
      <c r="E163" s="52">
        <f>SUM(E164)</f>
        <v>72200</v>
      </c>
      <c r="F163" s="52">
        <f>SUM(F164)</f>
        <v>0</v>
      </c>
      <c r="G163" s="52">
        <f>SUM(G164)</f>
        <v>0</v>
      </c>
      <c r="H163" s="52">
        <f t="shared" ref="H163:P163" si="88">SUM(H164)</f>
        <v>0</v>
      </c>
      <c r="I163" s="52">
        <f t="shared" si="88"/>
        <v>0</v>
      </c>
      <c r="J163" s="52">
        <f t="shared" si="88"/>
        <v>0</v>
      </c>
      <c r="K163" s="52">
        <f t="shared" si="88"/>
        <v>0</v>
      </c>
      <c r="L163" s="52">
        <f t="shared" si="88"/>
        <v>0</v>
      </c>
      <c r="M163" s="52">
        <f t="shared" si="88"/>
        <v>0</v>
      </c>
      <c r="N163" s="52">
        <f t="shared" si="88"/>
        <v>0</v>
      </c>
      <c r="O163" s="52">
        <f t="shared" si="88"/>
        <v>0</v>
      </c>
      <c r="P163" s="52">
        <f t="shared" si="88"/>
        <v>0</v>
      </c>
      <c r="Q163" s="78">
        <f>SUM(D163:P163)</f>
        <v>72200</v>
      </c>
      <c r="R163" s="93">
        <f>'Перечень инв.проектов ТКО'!Z5</f>
        <v>72200</v>
      </c>
      <c r="S163" s="69"/>
      <c r="AF163" s="17">
        <f>Q163</f>
        <v>72200</v>
      </c>
    </row>
    <row r="164" spans="2:32" ht="13.9" customHeight="1" x14ac:dyDescent="0.2">
      <c r="B164" s="478" t="s">
        <v>1034</v>
      </c>
      <c r="C164" s="478"/>
      <c r="D164" s="52">
        <f t="shared" ref="D164:G164" si="89">D165+D170+D175+D180</f>
        <v>0</v>
      </c>
      <c r="E164" s="52">
        <f t="shared" si="89"/>
        <v>72200</v>
      </c>
      <c r="F164" s="52">
        <f t="shared" si="89"/>
        <v>0</v>
      </c>
      <c r="G164" s="52">
        <f t="shared" si="89"/>
        <v>0</v>
      </c>
      <c r="H164" s="52">
        <f t="shared" ref="H164:P164" si="90">H165+H170+H175+H180</f>
        <v>0</v>
      </c>
      <c r="I164" s="52">
        <f t="shared" si="90"/>
        <v>0</v>
      </c>
      <c r="J164" s="52">
        <f t="shared" si="90"/>
        <v>0</v>
      </c>
      <c r="K164" s="52">
        <f t="shared" si="90"/>
        <v>0</v>
      </c>
      <c r="L164" s="52">
        <f t="shared" si="90"/>
        <v>0</v>
      </c>
      <c r="M164" s="52">
        <f t="shared" si="90"/>
        <v>0</v>
      </c>
      <c r="N164" s="52">
        <f t="shared" si="90"/>
        <v>0</v>
      </c>
      <c r="O164" s="52">
        <f t="shared" si="90"/>
        <v>0</v>
      </c>
      <c r="P164" s="52">
        <f t="shared" si="90"/>
        <v>0</v>
      </c>
      <c r="Q164" s="78">
        <f t="shared" ref="Q164:Q188" si="91">SUM(D164:P164)</f>
        <v>72200</v>
      </c>
      <c r="R164" s="93">
        <f>Q164-Q185</f>
        <v>0</v>
      </c>
      <c r="S164" s="69"/>
      <c r="AF164" s="17">
        <f t="shared" ref="AF164" si="92">Q164</f>
        <v>72200</v>
      </c>
    </row>
    <row r="165" spans="2:32" ht="13.9" customHeight="1" x14ac:dyDescent="0.2">
      <c r="B165" s="471" t="s">
        <v>153</v>
      </c>
      <c r="C165" s="73" t="s">
        <v>216</v>
      </c>
      <c r="D165" s="52">
        <f t="shared" ref="D165:G165" si="93">D166+D167+D168+D169</f>
        <v>0</v>
      </c>
      <c r="E165" s="52">
        <f t="shared" si="93"/>
        <v>0</v>
      </c>
      <c r="F165" s="52">
        <f t="shared" si="93"/>
        <v>0</v>
      </c>
      <c r="G165" s="52">
        <f t="shared" si="93"/>
        <v>0</v>
      </c>
      <c r="H165" s="52">
        <f t="shared" ref="H165:P165" si="94">H166+H167+H168+H169</f>
        <v>0</v>
      </c>
      <c r="I165" s="52">
        <f t="shared" si="94"/>
        <v>0</v>
      </c>
      <c r="J165" s="52">
        <f t="shared" si="94"/>
        <v>0</v>
      </c>
      <c r="K165" s="52">
        <f t="shared" si="94"/>
        <v>0</v>
      </c>
      <c r="L165" s="52">
        <f t="shared" si="94"/>
        <v>0</v>
      </c>
      <c r="M165" s="52">
        <f t="shared" si="94"/>
        <v>0</v>
      </c>
      <c r="N165" s="52">
        <f t="shared" si="94"/>
        <v>0</v>
      </c>
      <c r="O165" s="52">
        <f t="shared" si="94"/>
        <v>0</v>
      </c>
      <c r="P165" s="52">
        <f t="shared" si="94"/>
        <v>0</v>
      </c>
      <c r="Q165" s="78">
        <f t="shared" si="91"/>
        <v>0</v>
      </c>
      <c r="R165" s="120"/>
      <c r="S165" s="69"/>
      <c r="AF165" s="17"/>
    </row>
    <row r="166" spans="2:32" ht="13.9" customHeight="1" x14ac:dyDescent="0.2">
      <c r="B166" s="471"/>
      <c r="C166" s="10" t="s">
        <v>163</v>
      </c>
      <c r="D166" s="63">
        <f>SUMIFS('Перечень инв.проектов ТКО'!M$4:M$95,'Перечень инв.проектов ТКО'!$C$4:$C$95,'Программа инв. проектов'!$S166,'Перечень инв.проектов ТКО'!$K$4:$K$95,'Программа инв. проектов'!$C166)</f>
        <v>0</v>
      </c>
      <c r="E166" s="63">
        <f>SUMIFS('Перечень инв.проектов ТКО'!N$4:N$95,'Перечень инв.проектов ТКО'!$C$4:$C$95,'Программа инв. проектов'!$S166,'Перечень инв.проектов ТКО'!$K$4:$K$95,'Программа инв. проектов'!$C166)</f>
        <v>0</v>
      </c>
      <c r="F166" s="63">
        <f>SUMIFS('Перечень инв.проектов ТКО'!O$4:O$95,'Перечень инв.проектов ТКО'!$C$4:$C$95,'Программа инв. проектов'!$S166,'Перечень инв.проектов ТКО'!$K$4:$K$95,'Программа инв. проектов'!$C166)</f>
        <v>0</v>
      </c>
      <c r="G166" s="63">
        <f>SUMIFS('Перечень инв.проектов ТКО'!P$4:P$95,'Перечень инв.проектов ТКО'!$C$4:$C$95,'Программа инв. проектов'!$S166,'Перечень инв.проектов ТКО'!$K$4:$K$95,'Программа инв. проектов'!$C166)</f>
        <v>0</v>
      </c>
      <c r="H166" s="63">
        <f>SUMIFS('Перечень инв.проектов ТКО'!Q$4:Q$95,'Перечень инв.проектов ТКО'!$C$4:$C$95,'Программа инв. проектов'!$S166,'Перечень инв.проектов ТКО'!$K$4:$K$95,'Программа инв. проектов'!$C166)</f>
        <v>0</v>
      </c>
      <c r="I166" s="63">
        <f>SUMIFS('Перечень инв.проектов ТКО'!R$4:R$95,'Перечень инв.проектов ТКО'!$C$4:$C$95,'Программа инв. проектов'!$S166,'Перечень инв.проектов ТКО'!$K$4:$K$95,'Программа инв. проектов'!$C166)</f>
        <v>0</v>
      </c>
      <c r="J166" s="63">
        <f>SUMIFS('Перечень инв.проектов ТКО'!S$4:S$95,'Перечень инв.проектов ТКО'!$C$4:$C$95,'Программа инв. проектов'!$S166,'Перечень инв.проектов ТКО'!$K$4:$K$95,'Программа инв. проектов'!$C166)</f>
        <v>0</v>
      </c>
      <c r="K166" s="63">
        <f>SUMIFS('Перечень инв.проектов ТКО'!T$4:T$95,'Перечень инв.проектов ТКО'!$C$4:$C$95,'Программа инв. проектов'!$S166,'Перечень инв.проектов ТКО'!$K$4:$K$95,'Программа инв. проектов'!$C166)</f>
        <v>0</v>
      </c>
      <c r="L166" s="63">
        <f>SUMIFS('Перечень инв.проектов ТКО'!U$4:U$95,'Перечень инв.проектов ТКО'!$C$4:$C$95,'Программа инв. проектов'!$S166,'Перечень инв.проектов ТКО'!$K$4:$K$95,'Программа инв. проектов'!$C166)</f>
        <v>0</v>
      </c>
      <c r="M166" s="63">
        <f>SUMIFS('Перечень инв.проектов ТКО'!V$4:V$95,'Перечень инв.проектов ТКО'!$C$4:$C$95,'Программа инв. проектов'!$S166,'Перечень инв.проектов ТКО'!$K$4:$K$95,'Программа инв. проектов'!$C166)</f>
        <v>0</v>
      </c>
      <c r="N166" s="63">
        <f>SUMIFS('Перечень инв.проектов ТКО'!W$4:W$95,'Перечень инв.проектов ТКО'!$C$4:$C$95,'Программа инв. проектов'!$S166,'Перечень инв.проектов ТКО'!$K$4:$K$95,'Программа инв. проектов'!$C166)</f>
        <v>0</v>
      </c>
      <c r="O166" s="63">
        <f>SUMIFS('Перечень инв.проектов ТКО'!X$4:X$95,'Перечень инв.проектов ТКО'!$C$4:$C$95,'Программа инв. проектов'!$S166,'Перечень инв.проектов ТКО'!$K$4:$K$95,'Программа инв. проектов'!$C166)</f>
        <v>0</v>
      </c>
      <c r="P166" s="63">
        <f>SUMIFS('Перечень инв.проектов ТКО'!Y$4:Y$95,'Перечень инв.проектов ТКО'!$C$4:$C$95,'Программа инв. проектов'!$S166,'Перечень инв.проектов ТКО'!$K$4:$K$95,'Программа инв. проектов'!$C166)</f>
        <v>0</v>
      </c>
      <c r="Q166" s="78">
        <f t="shared" si="91"/>
        <v>0</v>
      </c>
      <c r="R166" s="120"/>
      <c r="S166" s="69" t="s">
        <v>153</v>
      </c>
      <c r="AF166" s="17"/>
    </row>
    <row r="167" spans="2:32" ht="13.9" customHeight="1" x14ac:dyDescent="0.2">
      <c r="B167" s="471"/>
      <c r="C167" s="16" t="s">
        <v>166</v>
      </c>
      <c r="D167" s="63">
        <f>SUMIFS('Перечень инв.проектов ТКО'!M$4:M$95,'Перечень инв.проектов ТКО'!$C$4:$C$95,'Программа инв. проектов'!$S167,'Перечень инв.проектов ТКО'!$K$4:$K$95,'Программа инв. проектов'!$C167)</f>
        <v>0</v>
      </c>
      <c r="E167" s="63">
        <f>SUMIFS('Перечень инв.проектов ТКО'!N$4:N$95,'Перечень инв.проектов ТКО'!$C$4:$C$95,'Программа инв. проектов'!$S167,'Перечень инв.проектов ТКО'!$K$4:$K$95,'Программа инв. проектов'!$C167)</f>
        <v>0</v>
      </c>
      <c r="F167" s="63">
        <f>SUMIFS('Перечень инв.проектов ТКО'!O$4:O$95,'Перечень инв.проектов ТКО'!$C$4:$C$95,'Программа инв. проектов'!$S167,'Перечень инв.проектов ТКО'!$K$4:$K$95,'Программа инв. проектов'!$C167)</f>
        <v>0</v>
      </c>
      <c r="G167" s="63">
        <f>SUMIFS('Перечень инв.проектов ТКО'!P$4:P$95,'Перечень инв.проектов ТКО'!$C$4:$C$95,'Программа инв. проектов'!$S167,'Перечень инв.проектов ТКО'!$K$4:$K$95,'Программа инв. проектов'!$C167)</f>
        <v>0</v>
      </c>
      <c r="H167" s="63">
        <f>SUMIFS('Перечень инв.проектов ТКО'!Q$4:Q$95,'Перечень инв.проектов ТКО'!$C$4:$C$95,'Программа инв. проектов'!$S167,'Перечень инв.проектов ТКО'!$K$4:$K$95,'Программа инв. проектов'!$C167)</f>
        <v>0</v>
      </c>
      <c r="I167" s="63">
        <f>SUMIFS('Перечень инв.проектов ТКО'!R$4:R$95,'Перечень инв.проектов ТКО'!$C$4:$C$95,'Программа инв. проектов'!$S167,'Перечень инв.проектов ТКО'!$K$4:$K$95,'Программа инв. проектов'!$C167)</f>
        <v>0</v>
      </c>
      <c r="J167" s="63">
        <f>SUMIFS('Перечень инв.проектов ТКО'!S$4:S$95,'Перечень инв.проектов ТКО'!$C$4:$C$95,'Программа инв. проектов'!$S167,'Перечень инв.проектов ТКО'!$K$4:$K$95,'Программа инв. проектов'!$C167)</f>
        <v>0</v>
      </c>
      <c r="K167" s="63">
        <f>SUMIFS('Перечень инв.проектов ТКО'!T$4:T$95,'Перечень инв.проектов ТКО'!$C$4:$C$95,'Программа инв. проектов'!$S167,'Перечень инв.проектов ТКО'!$K$4:$K$95,'Программа инв. проектов'!$C167)</f>
        <v>0</v>
      </c>
      <c r="L167" s="63">
        <f>SUMIFS('Перечень инв.проектов ТКО'!U$4:U$95,'Перечень инв.проектов ТКО'!$C$4:$C$95,'Программа инв. проектов'!$S167,'Перечень инв.проектов ТКО'!$K$4:$K$95,'Программа инв. проектов'!$C167)</f>
        <v>0</v>
      </c>
      <c r="M167" s="63">
        <f>SUMIFS('Перечень инв.проектов ТКО'!V$4:V$95,'Перечень инв.проектов ТКО'!$C$4:$C$95,'Программа инв. проектов'!$S167,'Перечень инв.проектов ТКО'!$K$4:$K$95,'Программа инв. проектов'!$C167)</f>
        <v>0</v>
      </c>
      <c r="N167" s="63">
        <f>SUMIFS('Перечень инв.проектов ТКО'!W$4:W$95,'Перечень инв.проектов ТКО'!$C$4:$C$95,'Программа инв. проектов'!$S167,'Перечень инв.проектов ТКО'!$K$4:$K$95,'Программа инв. проектов'!$C167)</f>
        <v>0</v>
      </c>
      <c r="O167" s="63">
        <f>SUMIFS('Перечень инв.проектов ТКО'!X$4:X$95,'Перечень инв.проектов ТКО'!$C$4:$C$95,'Программа инв. проектов'!$S167,'Перечень инв.проектов ТКО'!$K$4:$K$95,'Программа инв. проектов'!$C167)</f>
        <v>0</v>
      </c>
      <c r="P167" s="63">
        <f>SUMIFS('Перечень инв.проектов ТКО'!Y$4:Y$95,'Перечень инв.проектов ТКО'!$C$4:$C$95,'Программа инв. проектов'!$S167,'Перечень инв.проектов ТКО'!$K$4:$K$95,'Программа инв. проектов'!$C167)</f>
        <v>0</v>
      </c>
      <c r="Q167" s="78">
        <f t="shared" si="91"/>
        <v>0</v>
      </c>
      <c r="R167" s="120"/>
      <c r="S167" s="69" t="s">
        <v>153</v>
      </c>
      <c r="AF167" s="17"/>
    </row>
    <row r="168" spans="2:32" ht="13.9" customHeight="1" x14ac:dyDescent="0.2">
      <c r="B168" s="471"/>
      <c r="C168" s="16" t="s">
        <v>155</v>
      </c>
      <c r="D168" s="63">
        <f>SUMIFS('Перечень инв.проектов ТКО'!M$4:M$95,'Перечень инв.проектов ТКО'!$C$4:$C$95,'Программа инв. проектов'!$S168,'Перечень инв.проектов ТКО'!$K$4:$K$95,'Программа инв. проектов'!$C168)</f>
        <v>0</v>
      </c>
      <c r="E168" s="63">
        <f>SUMIFS('Перечень инв.проектов ТКО'!N$4:N$95,'Перечень инв.проектов ТКО'!$C$4:$C$95,'Программа инв. проектов'!$S168,'Перечень инв.проектов ТКО'!$K$4:$K$95,'Программа инв. проектов'!$C168)</f>
        <v>0</v>
      </c>
      <c r="F168" s="63">
        <f>SUMIFS('Перечень инв.проектов ТКО'!O$4:O$95,'Перечень инв.проектов ТКО'!$C$4:$C$95,'Программа инв. проектов'!$S168,'Перечень инв.проектов ТКО'!$K$4:$K$95,'Программа инв. проектов'!$C168)</f>
        <v>0</v>
      </c>
      <c r="G168" s="63">
        <f>SUMIFS('Перечень инв.проектов ТКО'!P$4:P$95,'Перечень инв.проектов ТКО'!$C$4:$C$95,'Программа инв. проектов'!$S168,'Перечень инв.проектов ТКО'!$K$4:$K$95,'Программа инв. проектов'!$C168)</f>
        <v>0</v>
      </c>
      <c r="H168" s="63">
        <f>SUMIFS('Перечень инв.проектов ТКО'!Q$4:Q$95,'Перечень инв.проектов ТКО'!$C$4:$C$95,'Программа инв. проектов'!$S168,'Перечень инв.проектов ТКО'!$K$4:$K$95,'Программа инв. проектов'!$C168)</f>
        <v>0</v>
      </c>
      <c r="I168" s="63">
        <f>SUMIFS('Перечень инв.проектов ТКО'!R$4:R$95,'Перечень инв.проектов ТКО'!$C$4:$C$95,'Программа инв. проектов'!$S168,'Перечень инв.проектов ТКО'!$K$4:$K$95,'Программа инв. проектов'!$C168)</f>
        <v>0</v>
      </c>
      <c r="J168" s="63">
        <f>SUMIFS('Перечень инв.проектов ТКО'!S$4:S$95,'Перечень инв.проектов ТКО'!$C$4:$C$95,'Программа инв. проектов'!$S168,'Перечень инв.проектов ТКО'!$K$4:$K$95,'Программа инв. проектов'!$C168)</f>
        <v>0</v>
      </c>
      <c r="K168" s="63">
        <f>SUMIFS('Перечень инв.проектов ТКО'!T$4:T$95,'Перечень инв.проектов ТКО'!$C$4:$C$95,'Программа инв. проектов'!$S168,'Перечень инв.проектов ТКО'!$K$4:$K$95,'Программа инв. проектов'!$C168)</f>
        <v>0</v>
      </c>
      <c r="L168" s="63">
        <f>SUMIFS('Перечень инв.проектов ТКО'!U$4:U$95,'Перечень инв.проектов ТКО'!$C$4:$C$95,'Программа инв. проектов'!$S168,'Перечень инв.проектов ТКО'!$K$4:$K$95,'Программа инв. проектов'!$C168)</f>
        <v>0</v>
      </c>
      <c r="M168" s="63">
        <f>SUMIFS('Перечень инв.проектов ТКО'!V$4:V$95,'Перечень инв.проектов ТКО'!$C$4:$C$95,'Программа инв. проектов'!$S168,'Перечень инв.проектов ТКО'!$K$4:$K$95,'Программа инв. проектов'!$C168)</f>
        <v>0</v>
      </c>
      <c r="N168" s="63">
        <f>SUMIFS('Перечень инв.проектов ТКО'!W$4:W$95,'Перечень инв.проектов ТКО'!$C$4:$C$95,'Программа инв. проектов'!$S168,'Перечень инв.проектов ТКО'!$K$4:$K$95,'Программа инв. проектов'!$C168)</f>
        <v>0</v>
      </c>
      <c r="O168" s="63">
        <f>SUMIFS('Перечень инв.проектов ТКО'!X$4:X$95,'Перечень инв.проектов ТКО'!$C$4:$C$95,'Программа инв. проектов'!$S168,'Перечень инв.проектов ТКО'!$K$4:$K$95,'Программа инв. проектов'!$C168)</f>
        <v>0</v>
      </c>
      <c r="P168" s="63">
        <f>SUMIFS('Перечень инв.проектов ТКО'!Y$4:Y$95,'Перечень инв.проектов ТКО'!$C$4:$C$95,'Программа инв. проектов'!$S168,'Перечень инв.проектов ТКО'!$K$4:$K$95,'Программа инв. проектов'!$C168)</f>
        <v>0</v>
      </c>
      <c r="Q168" s="78">
        <f t="shared" si="91"/>
        <v>0</v>
      </c>
      <c r="R168" s="120"/>
      <c r="S168" s="69" t="s">
        <v>153</v>
      </c>
      <c r="AF168" s="17"/>
    </row>
    <row r="169" spans="2:32" ht="13.9" customHeight="1" x14ac:dyDescent="0.2">
      <c r="B169" s="471"/>
      <c r="C169" s="16" t="s">
        <v>310</v>
      </c>
      <c r="D169" s="63">
        <f>SUMIFS('Перечень инв.проектов ТКО'!M$4:M$95,'Перечень инв.проектов ТКО'!$C$4:$C$95,'Программа инв. проектов'!$S169,'Перечень инв.проектов ТКО'!$K$4:$K$95,'Программа инв. проектов'!$C169)</f>
        <v>0</v>
      </c>
      <c r="E169" s="63">
        <f>SUMIFS('Перечень инв.проектов ТКО'!N$4:N$95,'Перечень инв.проектов ТКО'!$C$4:$C$95,'Программа инв. проектов'!$S169,'Перечень инв.проектов ТКО'!$K$4:$K$95,'Программа инв. проектов'!$C169)</f>
        <v>0</v>
      </c>
      <c r="F169" s="63">
        <f>SUMIFS('Перечень инв.проектов ТКО'!O$4:O$95,'Перечень инв.проектов ТКО'!$C$4:$C$95,'Программа инв. проектов'!$S169,'Перечень инв.проектов ТКО'!$K$4:$K$95,'Программа инв. проектов'!$C169)</f>
        <v>0</v>
      </c>
      <c r="G169" s="63">
        <f>SUMIFS('Перечень инв.проектов ТКО'!P$4:P$95,'Перечень инв.проектов ТКО'!$C$4:$C$95,'Программа инв. проектов'!$S169,'Перечень инв.проектов ТКО'!$K$4:$K$95,'Программа инв. проектов'!$C169)</f>
        <v>0</v>
      </c>
      <c r="H169" s="63">
        <f>SUMIFS('Перечень инв.проектов ТКО'!Q$4:Q$95,'Перечень инв.проектов ТКО'!$C$4:$C$95,'Программа инв. проектов'!$S169,'Перечень инв.проектов ТКО'!$K$4:$K$95,'Программа инв. проектов'!$C169)</f>
        <v>0</v>
      </c>
      <c r="I169" s="63">
        <f>SUMIFS('Перечень инв.проектов ТКО'!R$4:R$95,'Перечень инв.проектов ТКО'!$C$4:$C$95,'Программа инв. проектов'!$S169,'Перечень инв.проектов ТКО'!$K$4:$K$95,'Программа инв. проектов'!$C169)</f>
        <v>0</v>
      </c>
      <c r="J169" s="63">
        <f>SUMIFS('Перечень инв.проектов ТКО'!S$4:S$95,'Перечень инв.проектов ТКО'!$C$4:$C$95,'Программа инв. проектов'!$S169,'Перечень инв.проектов ТКО'!$K$4:$K$95,'Программа инв. проектов'!$C169)</f>
        <v>0</v>
      </c>
      <c r="K169" s="63">
        <f>SUMIFS('Перечень инв.проектов ТКО'!T$4:T$95,'Перечень инв.проектов ТКО'!$C$4:$C$95,'Программа инв. проектов'!$S169,'Перечень инв.проектов ТКО'!$K$4:$K$95,'Программа инв. проектов'!$C169)</f>
        <v>0</v>
      </c>
      <c r="L169" s="63">
        <f>SUMIFS('Перечень инв.проектов ТКО'!U$4:U$95,'Перечень инв.проектов ТКО'!$C$4:$C$95,'Программа инв. проектов'!$S169,'Перечень инв.проектов ТКО'!$K$4:$K$95,'Программа инв. проектов'!$C169)</f>
        <v>0</v>
      </c>
      <c r="M169" s="63">
        <f>SUMIFS('Перечень инв.проектов ТКО'!V$4:V$95,'Перечень инв.проектов ТКО'!$C$4:$C$95,'Программа инв. проектов'!$S169,'Перечень инв.проектов ТКО'!$K$4:$K$95,'Программа инв. проектов'!$C169)</f>
        <v>0</v>
      </c>
      <c r="N169" s="63">
        <f>SUMIFS('Перечень инв.проектов ТКО'!W$4:W$95,'Перечень инв.проектов ТКО'!$C$4:$C$95,'Программа инв. проектов'!$S169,'Перечень инв.проектов ТКО'!$K$4:$K$95,'Программа инв. проектов'!$C169)</f>
        <v>0</v>
      </c>
      <c r="O169" s="63">
        <f>SUMIFS('Перечень инв.проектов ТКО'!X$4:X$95,'Перечень инв.проектов ТКО'!$C$4:$C$95,'Программа инв. проектов'!$S169,'Перечень инв.проектов ТКО'!$K$4:$K$95,'Программа инв. проектов'!$C169)</f>
        <v>0</v>
      </c>
      <c r="P169" s="63">
        <f>SUMIFS('Перечень инв.проектов ТКО'!Y$4:Y$95,'Перечень инв.проектов ТКО'!$C$4:$C$95,'Программа инв. проектов'!$S169,'Перечень инв.проектов ТКО'!$K$4:$K$95,'Программа инв. проектов'!$C169)</f>
        <v>0</v>
      </c>
      <c r="Q169" s="78">
        <f t="shared" si="91"/>
        <v>0</v>
      </c>
      <c r="R169" s="120"/>
      <c r="S169" s="69" t="s">
        <v>153</v>
      </c>
      <c r="AF169" s="17"/>
    </row>
    <row r="170" spans="2:32" ht="13.15" customHeight="1" x14ac:dyDescent="0.2">
      <c r="B170" s="471" t="s">
        <v>167</v>
      </c>
      <c r="C170" s="73" t="s">
        <v>216</v>
      </c>
      <c r="D170" s="77">
        <f t="shared" ref="D170:G170" si="95">SUM(D171:D174)</f>
        <v>0</v>
      </c>
      <c r="E170" s="77">
        <f t="shared" si="95"/>
        <v>0</v>
      </c>
      <c r="F170" s="77">
        <f t="shared" si="95"/>
        <v>0</v>
      </c>
      <c r="G170" s="77">
        <f t="shared" si="95"/>
        <v>0</v>
      </c>
      <c r="H170" s="77">
        <f t="shared" ref="H170:P170" si="96">SUM(H171:H174)</f>
        <v>0</v>
      </c>
      <c r="I170" s="77">
        <f t="shared" si="96"/>
        <v>0</v>
      </c>
      <c r="J170" s="77">
        <f t="shared" si="96"/>
        <v>0</v>
      </c>
      <c r="K170" s="77">
        <f t="shared" si="96"/>
        <v>0</v>
      </c>
      <c r="L170" s="77">
        <f t="shared" si="96"/>
        <v>0</v>
      </c>
      <c r="M170" s="77">
        <f t="shared" si="96"/>
        <v>0</v>
      </c>
      <c r="N170" s="77">
        <f t="shared" si="96"/>
        <v>0</v>
      </c>
      <c r="O170" s="77">
        <f t="shared" si="96"/>
        <v>0</v>
      </c>
      <c r="P170" s="77">
        <f t="shared" si="96"/>
        <v>0</v>
      </c>
      <c r="Q170" s="78">
        <f t="shared" si="91"/>
        <v>0</v>
      </c>
      <c r="R170" s="13"/>
      <c r="S170" s="69"/>
      <c r="AF170" s="17">
        <f t="shared" ref="AF170:AF188" si="97">Q170</f>
        <v>0</v>
      </c>
    </row>
    <row r="171" spans="2:32" x14ac:dyDescent="0.2">
      <c r="B171" s="471"/>
      <c r="C171" s="10" t="s">
        <v>163</v>
      </c>
      <c r="D171" s="63">
        <f>SUMIFS('Перечень инв.проектов ТКО'!M$4:M$95,'Перечень инв.проектов ТКО'!$C$4:$C$95,'Программа инв. проектов'!$S171,'Перечень инв.проектов ТКО'!$K$4:$K$95,'Программа инв. проектов'!$C171)</f>
        <v>0</v>
      </c>
      <c r="E171" s="63">
        <f>SUMIFS('Перечень инв.проектов ТКО'!N$4:N$95,'Перечень инв.проектов ТКО'!$C$4:$C$95,'Программа инв. проектов'!$S171,'Перечень инв.проектов ТКО'!$K$4:$K$95,'Программа инв. проектов'!$C171)</f>
        <v>0</v>
      </c>
      <c r="F171" s="63">
        <f>SUMIFS('Перечень инв.проектов ТКО'!O$4:O$95,'Перечень инв.проектов ТКО'!$C$4:$C$95,'Программа инв. проектов'!$S171,'Перечень инв.проектов ТКО'!$K$4:$K$95,'Программа инв. проектов'!$C171)</f>
        <v>0</v>
      </c>
      <c r="G171" s="63">
        <f>SUMIFS('Перечень инв.проектов ТКО'!P$4:P$95,'Перечень инв.проектов ТКО'!$C$4:$C$95,'Программа инв. проектов'!$S171,'Перечень инв.проектов ТКО'!$K$4:$K$95,'Программа инв. проектов'!$C171)</f>
        <v>0</v>
      </c>
      <c r="H171" s="63">
        <f>SUMIFS('Перечень инв.проектов ТКО'!Q$4:Q$95,'Перечень инв.проектов ТКО'!$C$4:$C$95,'Программа инв. проектов'!$S171,'Перечень инв.проектов ТКО'!$K$4:$K$95,'Программа инв. проектов'!$C171)</f>
        <v>0</v>
      </c>
      <c r="I171" s="63">
        <f>SUMIFS('Перечень инв.проектов ТКО'!R$4:R$95,'Перечень инв.проектов ТКО'!$C$4:$C$95,'Программа инв. проектов'!$S171,'Перечень инв.проектов ТКО'!$K$4:$K$95,'Программа инв. проектов'!$C171)</f>
        <v>0</v>
      </c>
      <c r="J171" s="63">
        <f>SUMIFS('Перечень инв.проектов ТКО'!S$4:S$95,'Перечень инв.проектов ТКО'!$C$4:$C$95,'Программа инв. проектов'!$S171,'Перечень инв.проектов ТКО'!$K$4:$K$95,'Программа инв. проектов'!$C171)</f>
        <v>0</v>
      </c>
      <c r="K171" s="63">
        <f>SUMIFS('Перечень инв.проектов ТКО'!T$4:T$95,'Перечень инв.проектов ТКО'!$C$4:$C$95,'Программа инв. проектов'!$S171,'Перечень инв.проектов ТКО'!$K$4:$K$95,'Программа инв. проектов'!$C171)</f>
        <v>0</v>
      </c>
      <c r="L171" s="63">
        <f>SUMIFS('Перечень инв.проектов ТКО'!U$4:U$95,'Перечень инв.проектов ТКО'!$C$4:$C$95,'Программа инв. проектов'!$S171,'Перечень инв.проектов ТКО'!$K$4:$K$95,'Программа инв. проектов'!$C171)</f>
        <v>0</v>
      </c>
      <c r="M171" s="63">
        <f>SUMIFS('Перечень инв.проектов ТКО'!V$4:V$95,'Перечень инв.проектов ТКО'!$C$4:$C$95,'Программа инв. проектов'!$S171,'Перечень инв.проектов ТКО'!$K$4:$K$95,'Программа инв. проектов'!$C171)</f>
        <v>0</v>
      </c>
      <c r="N171" s="63">
        <f>SUMIFS('Перечень инв.проектов ТКО'!W$4:W$95,'Перечень инв.проектов ТКО'!$C$4:$C$95,'Программа инв. проектов'!$S171,'Перечень инв.проектов ТКО'!$K$4:$K$95,'Программа инв. проектов'!$C171)</f>
        <v>0</v>
      </c>
      <c r="O171" s="63">
        <f>SUMIFS('Перечень инв.проектов ТКО'!X$4:X$95,'Перечень инв.проектов ТКО'!$C$4:$C$95,'Программа инв. проектов'!$S171,'Перечень инв.проектов ТКО'!$K$4:$K$95,'Программа инв. проектов'!$C171)</f>
        <v>0</v>
      </c>
      <c r="P171" s="63">
        <f>SUMIFS('Перечень инв.проектов ТКО'!Y$4:Y$95,'Перечень инв.проектов ТКО'!$C$4:$C$95,'Программа инв. проектов'!$S171,'Перечень инв.проектов ТКО'!$K$4:$K$95,'Программа инв. проектов'!$C171)</f>
        <v>0</v>
      </c>
      <c r="Q171" s="78">
        <f t="shared" si="91"/>
        <v>0</v>
      </c>
      <c r="R171" s="13"/>
      <c r="S171" s="69" t="s">
        <v>167</v>
      </c>
      <c r="AF171" s="17">
        <f t="shared" si="97"/>
        <v>0</v>
      </c>
    </row>
    <row r="172" spans="2:32" ht="25.5" x14ac:dyDescent="0.2">
      <c r="B172" s="471"/>
      <c r="C172" s="16" t="s">
        <v>166</v>
      </c>
      <c r="D172" s="63">
        <f>SUMIFS('Перечень инв.проектов ТКО'!M$4:M$95,'Перечень инв.проектов ТКО'!$C$4:$C$95,'Программа инв. проектов'!$S172,'Перечень инв.проектов ТКО'!$K$4:$K$95,'Программа инв. проектов'!$C172)</f>
        <v>0</v>
      </c>
      <c r="E172" s="63">
        <f>SUMIFS('Перечень инв.проектов ТКО'!N$4:N$95,'Перечень инв.проектов ТКО'!$C$4:$C$95,'Программа инв. проектов'!$S172,'Перечень инв.проектов ТКО'!$K$4:$K$95,'Программа инв. проектов'!$C172)</f>
        <v>0</v>
      </c>
      <c r="F172" s="63">
        <f>SUMIFS('Перечень инв.проектов ТКО'!O$4:O$95,'Перечень инв.проектов ТКО'!$C$4:$C$95,'Программа инв. проектов'!$S172,'Перечень инв.проектов ТКО'!$K$4:$K$95,'Программа инв. проектов'!$C172)</f>
        <v>0</v>
      </c>
      <c r="G172" s="63">
        <f>SUMIFS('Перечень инв.проектов ТКО'!P$4:P$95,'Перечень инв.проектов ТКО'!$C$4:$C$95,'Программа инв. проектов'!$S172,'Перечень инв.проектов ТКО'!$K$4:$K$95,'Программа инв. проектов'!$C172)</f>
        <v>0</v>
      </c>
      <c r="H172" s="63">
        <f>SUMIFS('Перечень инв.проектов ТКО'!Q$4:Q$95,'Перечень инв.проектов ТКО'!$C$4:$C$95,'Программа инв. проектов'!$S172,'Перечень инв.проектов ТКО'!$K$4:$K$95,'Программа инв. проектов'!$C172)</f>
        <v>0</v>
      </c>
      <c r="I172" s="63">
        <f>SUMIFS('Перечень инв.проектов ТКО'!R$4:R$95,'Перечень инв.проектов ТКО'!$C$4:$C$95,'Программа инв. проектов'!$S172,'Перечень инв.проектов ТКО'!$K$4:$K$95,'Программа инв. проектов'!$C172)</f>
        <v>0</v>
      </c>
      <c r="J172" s="63">
        <f>SUMIFS('Перечень инв.проектов ТКО'!S$4:S$95,'Перечень инв.проектов ТКО'!$C$4:$C$95,'Программа инв. проектов'!$S172,'Перечень инв.проектов ТКО'!$K$4:$K$95,'Программа инв. проектов'!$C172)</f>
        <v>0</v>
      </c>
      <c r="K172" s="63">
        <f>SUMIFS('Перечень инв.проектов ТКО'!T$4:T$95,'Перечень инв.проектов ТКО'!$C$4:$C$95,'Программа инв. проектов'!$S172,'Перечень инв.проектов ТКО'!$K$4:$K$95,'Программа инв. проектов'!$C172)</f>
        <v>0</v>
      </c>
      <c r="L172" s="63">
        <f>SUMIFS('Перечень инв.проектов ТКО'!U$4:U$95,'Перечень инв.проектов ТКО'!$C$4:$C$95,'Программа инв. проектов'!$S172,'Перечень инв.проектов ТКО'!$K$4:$K$95,'Программа инв. проектов'!$C172)</f>
        <v>0</v>
      </c>
      <c r="M172" s="63">
        <f>SUMIFS('Перечень инв.проектов ТКО'!V$4:V$95,'Перечень инв.проектов ТКО'!$C$4:$C$95,'Программа инв. проектов'!$S172,'Перечень инв.проектов ТКО'!$K$4:$K$95,'Программа инв. проектов'!$C172)</f>
        <v>0</v>
      </c>
      <c r="N172" s="63">
        <f>SUMIFS('Перечень инв.проектов ТКО'!W$4:W$95,'Перечень инв.проектов ТКО'!$C$4:$C$95,'Программа инв. проектов'!$S172,'Перечень инв.проектов ТКО'!$K$4:$K$95,'Программа инв. проектов'!$C172)</f>
        <v>0</v>
      </c>
      <c r="O172" s="63">
        <f>SUMIFS('Перечень инв.проектов ТКО'!X$4:X$95,'Перечень инв.проектов ТКО'!$C$4:$C$95,'Программа инв. проектов'!$S172,'Перечень инв.проектов ТКО'!$K$4:$K$95,'Программа инв. проектов'!$C172)</f>
        <v>0</v>
      </c>
      <c r="P172" s="63">
        <f>SUMIFS('Перечень инв.проектов ТКО'!Y$4:Y$95,'Перечень инв.проектов ТКО'!$C$4:$C$95,'Программа инв. проектов'!$S172,'Перечень инв.проектов ТКО'!$K$4:$K$95,'Программа инв. проектов'!$C172)</f>
        <v>0</v>
      </c>
      <c r="Q172" s="78">
        <f t="shared" si="91"/>
        <v>0</v>
      </c>
      <c r="R172" s="13"/>
      <c r="S172" s="69" t="s">
        <v>167</v>
      </c>
      <c r="AF172" s="17">
        <f t="shared" si="97"/>
        <v>0</v>
      </c>
    </row>
    <row r="173" spans="2:32" x14ac:dyDescent="0.2">
      <c r="B173" s="471"/>
      <c r="C173" s="16" t="s">
        <v>155</v>
      </c>
      <c r="D173" s="63">
        <f>SUMIFS('Перечень инв.проектов ТКО'!M$4:M$95,'Перечень инв.проектов ТКО'!$C$4:$C$95,'Программа инв. проектов'!$S173,'Перечень инв.проектов ТКО'!$K$4:$K$95,'Программа инв. проектов'!$C173)</f>
        <v>0</v>
      </c>
      <c r="E173" s="63">
        <f>SUMIFS('Перечень инв.проектов ТКО'!N$4:N$95,'Перечень инв.проектов ТКО'!$C$4:$C$95,'Программа инв. проектов'!$S173,'Перечень инв.проектов ТКО'!$K$4:$K$95,'Программа инв. проектов'!$C173)</f>
        <v>0</v>
      </c>
      <c r="F173" s="63">
        <f>SUMIFS('Перечень инв.проектов ТКО'!O$4:O$95,'Перечень инв.проектов ТКО'!$C$4:$C$95,'Программа инв. проектов'!$S173,'Перечень инв.проектов ТКО'!$K$4:$K$95,'Программа инв. проектов'!$C173)</f>
        <v>0</v>
      </c>
      <c r="G173" s="63">
        <f>SUMIFS('Перечень инв.проектов ТКО'!P$4:P$95,'Перечень инв.проектов ТКО'!$C$4:$C$95,'Программа инв. проектов'!$S173,'Перечень инв.проектов ТКО'!$K$4:$K$95,'Программа инв. проектов'!$C173)</f>
        <v>0</v>
      </c>
      <c r="H173" s="63">
        <f>SUMIFS('Перечень инв.проектов ТКО'!Q$4:Q$95,'Перечень инв.проектов ТКО'!$C$4:$C$95,'Программа инв. проектов'!$S173,'Перечень инв.проектов ТКО'!$K$4:$K$95,'Программа инв. проектов'!$C173)</f>
        <v>0</v>
      </c>
      <c r="I173" s="63">
        <f>SUMIFS('Перечень инв.проектов ТКО'!R$4:R$95,'Перечень инв.проектов ТКО'!$C$4:$C$95,'Программа инв. проектов'!$S173,'Перечень инв.проектов ТКО'!$K$4:$K$95,'Программа инв. проектов'!$C173)</f>
        <v>0</v>
      </c>
      <c r="J173" s="63">
        <f>SUMIFS('Перечень инв.проектов ТКО'!S$4:S$95,'Перечень инв.проектов ТКО'!$C$4:$C$95,'Программа инв. проектов'!$S173,'Перечень инв.проектов ТКО'!$K$4:$K$95,'Программа инв. проектов'!$C173)</f>
        <v>0</v>
      </c>
      <c r="K173" s="63">
        <f>SUMIFS('Перечень инв.проектов ТКО'!T$4:T$95,'Перечень инв.проектов ТКО'!$C$4:$C$95,'Программа инв. проектов'!$S173,'Перечень инв.проектов ТКО'!$K$4:$K$95,'Программа инв. проектов'!$C173)</f>
        <v>0</v>
      </c>
      <c r="L173" s="63">
        <f>SUMIFS('Перечень инв.проектов ТКО'!U$4:U$95,'Перечень инв.проектов ТКО'!$C$4:$C$95,'Программа инв. проектов'!$S173,'Перечень инв.проектов ТКО'!$K$4:$K$95,'Программа инв. проектов'!$C173)</f>
        <v>0</v>
      </c>
      <c r="M173" s="63">
        <f>SUMIFS('Перечень инв.проектов ТКО'!V$4:V$95,'Перечень инв.проектов ТКО'!$C$4:$C$95,'Программа инв. проектов'!$S173,'Перечень инв.проектов ТКО'!$K$4:$K$95,'Программа инв. проектов'!$C173)</f>
        <v>0</v>
      </c>
      <c r="N173" s="63">
        <f>SUMIFS('Перечень инв.проектов ТКО'!W$4:W$95,'Перечень инв.проектов ТКО'!$C$4:$C$95,'Программа инв. проектов'!$S173,'Перечень инв.проектов ТКО'!$K$4:$K$95,'Программа инв. проектов'!$C173)</f>
        <v>0</v>
      </c>
      <c r="O173" s="63">
        <f>SUMIFS('Перечень инв.проектов ТКО'!X$4:X$95,'Перечень инв.проектов ТКО'!$C$4:$C$95,'Программа инв. проектов'!$S173,'Перечень инв.проектов ТКО'!$K$4:$K$95,'Программа инв. проектов'!$C173)</f>
        <v>0</v>
      </c>
      <c r="P173" s="63">
        <f>SUMIFS('Перечень инв.проектов ТКО'!Y$4:Y$95,'Перечень инв.проектов ТКО'!$C$4:$C$95,'Программа инв. проектов'!$S173,'Перечень инв.проектов ТКО'!$K$4:$K$95,'Программа инв. проектов'!$C173)</f>
        <v>0</v>
      </c>
      <c r="Q173" s="78">
        <f t="shared" si="91"/>
        <v>0</v>
      </c>
      <c r="R173" s="13"/>
      <c r="S173" s="69" t="s">
        <v>167</v>
      </c>
      <c r="AF173" s="17">
        <f t="shared" si="97"/>
        <v>0</v>
      </c>
    </row>
    <row r="174" spans="2:32" x14ac:dyDescent="0.2">
      <c r="B174" s="471"/>
      <c r="C174" s="16" t="s">
        <v>310</v>
      </c>
      <c r="D174" s="63">
        <f>SUMIFS('Перечень инв.проектов ТКО'!M$4:M$95,'Перечень инв.проектов ТКО'!$C$4:$C$95,'Программа инв. проектов'!$S174,'Перечень инв.проектов ТКО'!$K$4:$K$95,'Программа инв. проектов'!$C174)</f>
        <v>0</v>
      </c>
      <c r="E174" s="63">
        <f>SUMIFS('Перечень инв.проектов ТКО'!N$4:N$95,'Перечень инв.проектов ТКО'!$C$4:$C$95,'Программа инв. проектов'!$S174,'Перечень инв.проектов ТКО'!$K$4:$K$95,'Программа инв. проектов'!$C174)</f>
        <v>0</v>
      </c>
      <c r="F174" s="63">
        <f>SUMIFS('Перечень инв.проектов ТКО'!O$4:O$95,'Перечень инв.проектов ТКО'!$C$4:$C$95,'Программа инв. проектов'!$S174,'Перечень инв.проектов ТКО'!$K$4:$K$95,'Программа инв. проектов'!$C174)</f>
        <v>0</v>
      </c>
      <c r="G174" s="63">
        <f>SUMIFS('Перечень инв.проектов ТКО'!P$4:P$95,'Перечень инв.проектов ТКО'!$C$4:$C$95,'Программа инв. проектов'!$S174,'Перечень инв.проектов ТКО'!$K$4:$K$95,'Программа инв. проектов'!$C174)</f>
        <v>0</v>
      </c>
      <c r="H174" s="63">
        <f>SUMIFS('Перечень инв.проектов ТКО'!Q$4:Q$95,'Перечень инв.проектов ТКО'!$C$4:$C$95,'Программа инв. проектов'!$S174,'Перечень инв.проектов ТКО'!$K$4:$K$95,'Программа инв. проектов'!$C174)</f>
        <v>0</v>
      </c>
      <c r="I174" s="63">
        <f>SUMIFS('Перечень инв.проектов ТКО'!R$4:R$95,'Перечень инв.проектов ТКО'!$C$4:$C$95,'Программа инв. проектов'!$S174,'Перечень инв.проектов ТКО'!$K$4:$K$95,'Программа инв. проектов'!$C174)</f>
        <v>0</v>
      </c>
      <c r="J174" s="63">
        <f>SUMIFS('Перечень инв.проектов ТКО'!S$4:S$95,'Перечень инв.проектов ТКО'!$C$4:$C$95,'Программа инв. проектов'!$S174,'Перечень инв.проектов ТКО'!$K$4:$K$95,'Программа инв. проектов'!$C174)</f>
        <v>0</v>
      </c>
      <c r="K174" s="63">
        <f>SUMIFS('Перечень инв.проектов ТКО'!T$4:T$95,'Перечень инв.проектов ТКО'!$C$4:$C$95,'Программа инв. проектов'!$S174,'Перечень инв.проектов ТКО'!$K$4:$K$95,'Программа инв. проектов'!$C174)</f>
        <v>0</v>
      </c>
      <c r="L174" s="63">
        <f>SUMIFS('Перечень инв.проектов ТКО'!U$4:U$95,'Перечень инв.проектов ТКО'!$C$4:$C$95,'Программа инв. проектов'!$S174,'Перечень инв.проектов ТКО'!$K$4:$K$95,'Программа инв. проектов'!$C174)</f>
        <v>0</v>
      </c>
      <c r="M174" s="63">
        <f>SUMIFS('Перечень инв.проектов ТКО'!V$4:V$95,'Перечень инв.проектов ТКО'!$C$4:$C$95,'Программа инв. проектов'!$S174,'Перечень инв.проектов ТКО'!$K$4:$K$95,'Программа инв. проектов'!$C174)</f>
        <v>0</v>
      </c>
      <c r="N174" s="63">
        <f>SUMIFS('Перечень инв.проектов ТКО'!W$4:W$95,'Перечень инв.проектов ТКО'!$C$4:$C$95,'Программа инв. проектов'!$S174,'Перечень инв.проектов ТКО'!$K$4:$K$95,'Программа инв. проектов'!$C174)</f>
        <v>0</v>
      </c>
      <c r="O174" s="63">
        <f>SUMIFS('Перечень инв.проектов ТКО'!X$4:X$95,'Перечень инв.проектов ТКО'!$C$4:$C$95,'Программа инв. проектов'!$S174,'Перечень инв.проектов ТКО'!$K$4:$K$95,'Программа инв. проектов'!$C174)</f>
        <v>0</v>
      </c>
      <c r="P174" s="63">
        <f>SUMIFS('Перечень инв.проектов ТКО'!Y$4:Y$95,'Перечень инв.проектов ТКО'!$C$4:$C$95,'Программа инв. проектов'!$S174,'Перечень инв.проектов ТКО'!$K$4:$K$95,'Программа инв. проектов'!$C174)</f>
        <v>0</v>
      </c>
      <c r="Q174" s="78">
        <f t="shared" si="91"/>
        <v>0</v>
      </c>
      <c r="R174" s="13"/>
      <c r="S174" s="69" t="s">
        <v>167</v>
      </c>
      <c r="AF174" s="17">
        <f t="shared" si="97"/>
        <v>0</v>
      </c>
    </row>
    <row r="175" spans="2:32" x14ac:dyDescent="0.2">
      <c r="B175" s="471" t="s">
        <v>164</v>
      </c>
      <c r="C175" s="73" t="s">
        <v>216</v>
      </c>
      <c r="D175" s="77">
        <f t="shared" ref="D175:G175" si="98">SUM(D176:D179)</f>
        <v>0</v>
      </c>
      <c r="E175" s="77">
        <f t="shared" si="98"/>
        <v>72200</v>
      </c>
      <c r="F175" s="77">
        <f t="shared" si="98"/>
        <v>0</v>
      </c>
      <c r="G175" s="77">
        <f t="shared" si="98"/>
        <v>0</v>
      </c>
      <c r="H175" s="77">
        <f t="shared" ref="H175:P175" si="99">SUM(H176:H179)</f>
        <v>0</v>
      </c>
      <c r="I175" s="77">
        <f t="shared" si="99"/>
        <v>0</v>
      </c>
      <c r="J175" s="77">
        <f t="shared" si="99"/>
        <v>0</v>
      </c>
      <c r="K175" s="77">
        <f t="shared" si="99"/>
        <v>0</v>
      </c>
      <c r="L175" s="77">
        <f t="shared" si="99"/>
        <v>0</v>
      </c>
      <c r="M175" s="77">
        <f t="shared" si="99"/>
        <v>0</v>
      </c>
      <c r="N175" s="77">
        <f t="shared" si="99"/>
        <v>0</v>
      </c>
      <c r="O175" s="77">
        <f t="shared" si="99"/>
        <v>0</v>
      </c>
      <c r="P175" s="77">
        <f t="shared" si="99"/>
        <v>0</v>
      </c>
      <c r="Q175" s="78">
        <f t="shared" si="91"/>
        <v>72200</v>
      </c>
      <c r="R175" s="13"/>
      <c r="S175" s="69"/>
      <c r="AF175" s="17">
        <f t="shared" si="97"/>
        <v>72200</v>
      </c>
    </row>
    <row r="176" spans="2:32" x14ac:dyDescent="0.2">
      <c r="B176" s="471"/>
      <c r="C176" s="10" t="s">
        <v>163</v>
      </c>
      <c r="D176" s="63">
        <f>SUMIFS('Перечень инв.проектов ТКО'!M$4:M$95,'Перечень инв.проектов ТКО'!$C$4:$C$95,'Программа инв. проектов'!$S176,'Перечень инв.проектов ТКО'!$K$4:$K$95,'Программа инв. проектов'!$C176)</f>
        <v>0</v>
      </c>
      <c r="E176" s="63">
        <f>SUMIFS('Перечень инв.проектов ТКО'!N$4:N$95,'Перечень инв.проектов ТКО'!$C$4:$C$95,'Программа инв. проектов'!$S176,'Перечень инв.проектов ТКО'!$K$4:$K$95,'Программа инв. проектов'!$C176)</f>
        <v>72200</v>
      </c>
      <c r="F176" s="63">
        <f>SUMIFS('Перечень инв.проектов ТКО'!O$4:O$95,'Перечень инв.проектов ТКО'!$C$4:$C$95,'Программа инв. проектов'!$S176,'Перечень инв.проектов ТКО'!$K$4:$K$95,'Программа инв. проектов'!$C176)</f>
        <v>0</v>
      </c>
      <c r="G176" s="63">
        <f>SUMIFS('Перечень инв.проектов ТКО'!P$4:P$95,'Перечень инв.проектов ТКО'!$C$4:$C$95,'Программа инв. проектов'!$S176,'Перечень инв.проектов ТКО'!$K$4:$K$95,'Программа инв. проектов'!$C176)</f>
        <v>0</v>
      </c>
      <c r="H176" s="63">
        <f>SUMIFS('Перечень инв.проектов ТКО'!Q$4:Q$95,'Перечень инв.проектов ТКО'!$C$4:$C$95,'Программа инв. проектов'!$S176,'Перечень инв.проектов ТКО'!$K$4:$K$95,'Программа инв. проектов'!$C176)</f>
        <v>0</v>
      </c>
      <c r="I176" s="63">
        <f>SUMIFS('Перечень инв.проектов ТКО'!R$4:R$95,'Перечень инв.проектов ТКО'!$C$4:$C$95,'Программа инв. проектов'!$S176,'Перечень инв.проектов ТКО'!$K$4:$K$95,'Программа инв. проектов'!$C176)</f>
        <v>0</v>
      </c>
      <c r="J176" s="63">
        <f>SUMIFS('Перечень инв.проектов ТКО'!S$4:S$95,'Перечень инв.проектов ТКО'!$C$4:$C$95,'Программа инв. проектов'!$S176,'Перечень инв.проектов ТКО'!$K$4:$K$95,'Программа инв. проектов'!$C176)</f>
        <v>0</v>
      </c>
      <c r="K176" s="63">
        <f>SUMIFS('Перечень инв.проектов ТКО'!T$4:T$95,'Перечень инв.проектов ТКО'!$C$4:$C$95,'Программа инв. проектов'!$S176,'Перечень инв.проектов ТКО'!$K$4:$K$95,'Программа инв. проектов'!$C176)</f>
        <v>0</v>
      </c>
      <c r="L176" s="63">
        <f>SUMIFS('Перечень инв.проектов ТКО'!U$4:U$95,'Перечень инв.проектов ТКО'!$C$4:$C$95,'Программа инв. проектов'!$S176,'Перечень инв.проектов ТКО'!$K$4:$K$95,'Программа инв. проектов'!$C176)</f>
        <v>0</v>
      </c>
      <c r="M176" s="63">
        <f>SUMIFS('Перечень инв.проектов ТКО'!V$4:V$95,'Перечень инв.проектов ТКО'!$C$4:$C$95,'Программа инв. проектов'!$S176,'Перечень инв.проектов ТКО'!$K$4:$K$95,'Программа инв. проектов'!$C176)</f>
        <v>0</v>
      </c>
      <c r="N176" s="63">
        <f>SUMIFS('Перечень инв.проектов ТКО'!W$4:W$95,'Перечень инв.проектов ТКО'!$C$4:$C$95,'Программа инв. проектов'!$S176,'Перечень инв.проектов ТКО'!$K$4:$K$95,'Программа инв. проектов'!$C176)</f>
        <v>0</v>
      </c>
      <c r="O176" s="63">
        <f>SUMIFS('Перечень инв.проектов ТКО'!X$4:X$95,'Перечень инв.проектов ТКО'!$C$4:$C$95,'Программа инв. проектов'!$S176,'Перечень инв.проектов ТКО'!$K$4:$K$95,'Программа инв. проектов'!$C176)</f>
        <v>0</v>
      </c>
      <c r="P176" s="63">
        <f>SUMIFS('Перечень инв.проектов ТКО'!Y$4:Y$95,'Перечень инв.проектов ТКО'!$C$4:$C$95,'Программа инв. проектов'!$S176,'Перечень инв.проектов ТКО'!$K$4:$K$95,'Программа инв. проектов'!$C176)</f>
        <v>0</v>
      </c>
      <c r="Q176" s="78">
        <f t="shared" si="91"/>
        <v>72200</v>
      </c>
      <c r="R176" s="13"/>
      <c r="S176" s="69" t="s">
        <v>164</v>
      </c>
      <c r="AF176" s="17">
        <f t="shared" si="97"/>
        <v>72200</v>
      </c>
    </row>
    <row r="177" spans="2:32" ht="25.5" x14ac:dyDescent="0.2">
      <c r="B177" s="471"/>
      <c r="C177" s="16" t="s">
        <v>166</v>
      </c>
      <c r="D177" s="63">
        <f>SUMIFS('Перечень инв.проектов ТКО'!M$4:M$95,'Перечень инв.проектов ТКО'!$C$4:$C$95,'Программа инв. проектов'!$S177,'Перечень инв.проектов ТКО'!$K$4:$K$95,'Программа инв. проектов'!$C177)</f>
        <v>0</v>
      </c>
      <c r="E177" s="63">
        <f>SUMIFS('Перечень инв.проектов ТКО'!N$4:N$95,'Перечень инв.проектов ТКО'!$C$4:$C$95,'Программа инв. проектов'!$S177,'Перечень инв.проектов ТКО'!$K$4:$K$95,'Программа инв. проектов'!$C177)</f>
        <v>0</v>
      </c>
      <c r="F177" s="63">
        <f>SUMIFS('Перечень инв.проектов ТКО'!O$4:O$95,'Перечень инв.проектов ТКО'!$C$4:$C$95,'Программа инв. проектов'!$S177,'Перечень инв.проектов ТКО'!$K$4:$K$95,'Программа инв. проектов'!$C177)</f>
        <v>0</v>
      </c>
      <c r="G177" s="63">
        <f>SUMIFS('Перечень инв.проектов ТКО'!P$4:P$95,'Перечень инв.проектов ТКО'!$C$4:$C$95,'Программа инв. проектов'!$S177,'Перечень инв.проектов ТКО'!$K$4:$K$95,'Программа инв. проектов'!$C177)</f>
        <v>0</v>
      </c>
      <c r="H177" s="63">
        <f>SUMIFS('Перечень инв.проектов ТКО'!Q$4:Q$95,'Перечень инв.проектов ТКО'!$C$4:$C$95,'Программа инв. проектов'!$S177,'Перечень инв.проектов ТКО'!$K$4:$K$95,'Программа инв. проектов'!$C177)</f>
        <v>0</v>
      </c>
      <c r="I177" s="63">
        <f>SUMIFS('Перечень инв.проектов ТКО'!R$4:R$95,'Перечень инв.проектов ТКО'!$C$4:$C$95,'Программа инв. проектов'!$S177,'Перечень инв.проектов ТКО'!$K$4:$K$95,'Программа инв. проектов'!$C177)</f>
        <v>0</v>
      </c>
      <c r="J177" s="63">
        <f>SUMIFS('Перечень инв.проектов ТКО'!S$4:S$95,'Перечень инв.проектов ТКО'!$C$4:$C$95,'Программа инв. проектов'!$S177,'Перечень инв.проектов ТКО'!$K$4:$K$95,'Программа инв. проектов'!$C177)</f>
        <v>0</v>
      </c>
      <c r="K177" s="63">
        <f>SUMIFS('Перечень инв.проектов ТКО'!T$4:T$95,'Перечень инв.проектов ТКО'!$C$4:$C$95,'Программа инв. проектов'!$S177,'Перечень инв.проектов ТКО'!$K$4:$K$95,'Программа инв. проектов'!$C177)</f>
        <v>0</v>
      </c>
      <c r="L177" s="63">
        <f>SUMIFS('Перечень инв.проектов ТКО'!U$4:U$95,'Перечень инв.проектов ТКО'!$C$4:$C$95,'Программа инв. проектов'!$S177,'Перечень инв.проектов ТКО'!$K$4:$K$95,'Программа инв. проектов'!$C177)</f>
        <v>0</v>
      </c>
      <c r="M177" s="63">
        <f>SUMIFS('Перечень инв.проектов ТКО'!V$4:V$95,'Перечень инв.проектов ТКО'!$C$4:$C$95,'Программа инв. проектов'!$S177,'Перечень инв.проектов ТКО'!$K$4:$K$95,'Программа инв. проектов'!$C177)</f>
        <v>0</v>
      </c>
      <c r="N177" s="63">
        <f>SUMIFS('Перечень инв.проектов ТКО'!W$4:W$95,'Перечень инв.проектов ТКО'!$C$4:$C$95,'Программа инв. проектов'!$S177,'Перечень инв.проектов ТКО'!$K$4:$K$95,'Программа инв. проектов'!$C177)</f>
        <v>0</v>
      </c>
      <c r="O177" s="63">
        <f>SUMIFS('Перечень инв.проектов ТКО'!X$4:X$95,'Перечень инв.проектов ТКО'!$C$4:$C$95,'Программа инв. проектов'!$S177,'Перечень инв.проектов ТКО'!$K$4:$K$95,'Программа инв. проектов'!$C177)</f>
        <v>0</v>
      </c>
      <c r="P177" s="63">
        <f>SUMIFS('Перечень инв.проектов ТКО'!Y$4:Y$95,'Перечень инв.проектов ТКО'!$C$4:$C$95,'Программа инв. проектов'!$S177,'Перечень инв.проектов ТКО'!$K$4:$K$95,'Программа инв. проектов'!$C177)</f>
        <v>0</v>
      </c>
      <c r="Q177" s="78">
        <f t="shared" si="91"/>
        <v>0</v>
      </c>
      <c r="R177" s="13"/>
      <c r="S177" s="69" t="s">
        <v>164</v>
      </c>
      <c r="AF177" s="17">
        <f t="shared" si="97"/>
        <v>0</v>
      </c>
    </row>
    <row r="178" spans="2:32" x14ac:dyDescent="0.2">
      <c r="B178" s="471"/>
      <c r="C178" s="16" t="s">
        <v>155</v>
      </c>
      <c r="D178" s="63">
        <f>SUMIFS('Перечень инв.проектов ТКО'!M$4:M$95,'Перечень инв.проектов ТКО'!$C$4:$C$95,'Программа инв. проектов'!$S178,'Перечень инв.проектов ТКО'!$K$4:$K$95,'Программа инв. проектов'!$C178)</f>
        <v>0</v>
      </c>
      <c r="E178" s="63">
        <f>SUMIFS('Перечень инв.проектов ТКО'!N$4:N$95,'Перечень инв.проектов ТКО'!$C$4:$C$95,'Программа инв. проектов'!$S178,'Перечень инв.проектов ТКО'!$K$4:$K$95,'Программа инв. проектов'!$C178)</f>
        <v>0</v>
      </c>
      <c r="F178" s="63">
        <f>SUMIFS('Перечень инв.проектов ТКО'!O$4:O$95,'Перечень инв.проектов ТКО'!$C$4:$C$95,'Программа инв. проектов'!$S178,'Перечень инв.проектов ТКО'!$K$4:$K$95,'Программа инв. проектов'!$C178)</f>
        <v>0</v>
      </c>
      <c r="G178" s="63">
        <f>SUMIFS('Перечень инв.проектов ТКО'!P$4:P$95,'Перечень инв.проектов ТКО'!$C$4:$C$95,'Программа инв. проектов'!$S178,'Перечень инв.проектов ТКО'!$K$4:$K$95,'Программа инв. проектов'!$C178)</f>
        <v>0</v>
      </c>
      <c r="H178" s="63">
        <f>SUMIFS('Перечень инв.проектов ТКО'!Q$4:Q$95,'Перечень инв.проектов ТКО'!$C$4:$C$95,'Программа инв. проектов'!$S178,'Перечень инв.проектов ТКО'!$K$4:$K$95,'Программа инв. проектов'!$C178)</f>
        <v>0</v>
      </c>
      <c r="I178" s="63">
        <f>SUMIFS('Перечень инв.проектов ТКО'!R$4:R$95,'Перечень инв.проектов ТКО'!$C$4:$C$95,'Программа инв. проектов'!$S178,'Перечень инв.проектов ТКО'!$K$4:$K$95,'Программа инв. проектов'!$C178)</f>
        <v>0</v>
      </c>
      <c r="J178" s="63">
        <f>SUMIFS('Перечень инв.проектов ТКО'!S$4:S$95,'Перечень инв.проектов ТКО'!$C$4:$C$95,'Программа инв. проектов'!$S178,'Перечень инв.проектов ТКО'!$K$4:$K$95,'Программа инв. проектов'!$C178)</f>
        <v>0</v>
      </c>
      <c r="K178" s="63">
        <f>SUMIFS('Перечень инв.проектов ТКО'!T$4:T$95,'Перечень инв.проектов ТКО'!$C$4:$C$95,'Программа инв. проектов'!$S178,'Перечень инв.проектов ТКО'!$K$4:$K$95,'Программа инв. проектов'!$C178)</f>
        <v>0</v>
      </c>
      <c r="L178" s="63">
        <f>SUMIFS('Перечень инв.проектов ТКО'!U$4:U$95,'Перечень инв.проектов ТКО'!$C$4:$C$95,'Программа инв. проектов'!$S178,'Перечень инв.проектов ТКО'!$K$4:$K$95,'Программа инв. проектов'!$C178)</f>
        <v>0</v>
      </c>
      <c r="M178" s="63">
        <f>SUMIFS('Перечень инв.проектов ТКО'!V$4:V$95,'Перечень инв.проектов ТКО'!$C$4:$C$95,'Программа инв. проектов'!$S178,'Перечень инв.проектов ТКО'!$K$4:$K$95,'Программа инв. проектов'!$C178)</f>
        <v>0</v>
      </c>
      <c r="N178" s="63">
        <f>SUMIFS('Перечень инв.проектов ТКО'!W$4:W$95,'Перечень инв.проектов ТКО'!$C$4:$C$95,'Программа инв. проектов'!$S178,'Перечень инв.проектов ТКО'!$K$4:$K$95,'Программа инв. проектов'!$C178)</f>
        <v>0</v>
      </c>
      <c r="O178" s="63">
        <f>SUMIFS('Перечень инв.проектов ТКО'!X$4:X$95,'Перечень инв.проектов ТКО'!$C$4:$C$95,'Программа инв. проектов'!$S178,'Перечень инв.проектов ТКО'!$K$4:$K$95,'Программа инв. проектов'!$C178)</f>
        <v>0</v>
      </c>
      <c r="P178" s="63">
        <f>SUMIFS('Перечень инв.проектов ТКО'!Y$4:Y$95,'Перечень инв.проектов ТКО'!$C$4:$C$95,'Программа инв. проектов'!$S178,'Перечень инв.проектов ТКО'!$K$4:$K$95,'Программа инв. проектов'!$C178)</f>
        <v>0</v>
      </c>
      <c r="Q178" s="78">
        <f t="shared" si="91"/>
        <v>0</v>
      </c>
      <c r="R178" s="13"/>
      <c r="S178" s="69" t="s">
        <v>164</v>
      </c>
      <c r="AF178" s="17">
        <f t="shared" si="97"/>
        <v>0</v>
      </c>
    </row>
    <row r="179" spans="2:32" x14ac:dyDescent="0.2">
      <c r="B179" s="471"/>
      <c r="C179" s="16" t="s">
        <v>310</v>
      </c>
      <c r="D179" s="63">
        <f>SUMIFS('Перечень инв.проектов ТКО'!M$4:M$95,'Перечень инв.проектов ТКО'!$C$4:$C$95,'Программа инв. проектов'!$S179,'Перечень инв.проектов ТКО'!$K$4:$K$95,'Программа инв. проектов'!$C179)</f>
        <v>0</v>
      </c>
      <c r="E179" s="63">
        <f>SUMIFS('Перечень инв.проектов ТКО'!N$4:N$95,'Перечень инв.проектов ТКО'!$C$4:$C$95,'Программа инв. проектов'!$S179,'Перечень инв.проектов ТКО'!$K$4:$K$95,'Программа инв. проектов'!$C179)</f>
        <v>0</v>
      </c>
      <c r="F179" s="63">
        <f>SUMIFS('Перечень инв.проектов ТКО'!O$4:O$95,'Перечень инв.проектов ТКО'!$C$4:$C$95,'Программа инв. проектов'!$S179,'Перечень инв.проектов ТКО'!$K$4:$K$95,'Программа инв. проектов'!$C179)</f>
        <v>0</v>
      </c>
      <c r="G179" s="63">
        <f>SUMIFS('Перечень инв.проектов ТКО'!P$4:P$95,'Перечень инв.проектов ТКО'!$C$4:$C$95,'Программа инв. проектов'!$S179,'Перечень инв.проектов ТКО'!$K$4:$K$95,'Программа инв. проектов'!$C179)</f>
        <v>0</v>
      </c>
      <c r="H179" s="63">
        <f>SUMIFS('Перечень инв.проектов ТКО'!Q$4:Q$95,'Перечень инв.проектов ТКО'!$C$4:$C$95,'Программа инв. проектов'!$S179,'Перечень инв.проектов ТКО'!$K$4:$K$95,'Программа инв. проектов'!$C179)</f>
        <v>0</v>
      </c>
      <c r="I179" s="63">
        <f>SUMIFS('Перечень инв.проектов ТКО'!R$4:R$95,'Перечень инв.проектов ТКО'!$C$4:$C$95,'Программа инв. проектов'!$S179,'Перечень инв.проектов ТКО'!$K$4:$K$95,'Программа инв. проектов'!$C179)</f>
        <v>0</v>
      </c>
      <c r="J179" s="63">
        <f>SUMIFS('Перечень инв.проектов ТКО'!S$4:S$95,'Перечень инв.проектов ТКО'!$C$4:$C$95,'Программа инв. проектов'!$S179,'Перечень инв.проектов ТКО'!$K$4:$K$95,'Программа инв. проектов'!$C179)</f>
        <v>0</v>
      </c>
      <c r="K179" s="63">
        <f>SUMIFS('Перечень инв.проектов ТКО'!T$4:T$95,'Перечень инв.проектов ТКО'!$C$4:$C$95,'Программа инв. проектов'!$S179,'Перечень инв.проектов ТКО'!$K$4:$K$95,'Программа инв. проектов'!$C179)</f>
        <v>0</v>
      </c>
      <c r="L179" s="63">
        <f>SUMIFS('Перечень инв.проектов ТКО'!U$4:U$95,'Перечень инв.проектов ТКО'!$C$4:$C$95,'Программа инв. проектов'!$S179,'Перечень инв.проектов ТКО'!$K$4:$K$95,'Программа инв. проектов'!$C179)</f>
        <v>0</v>
      </c>
      <c r="M179" s="63">
        <f>SUMIFS('Перечень инв.проектов ТКО'!V$4:V$95,'Перечень инв.проектов ТКО'!$C$4:$C$95,'Программа инв. проектов'!$S179,'Перечень инв.проектов ТКО'!$K$4:$K$95,'Программа инв. проектов'!$C179)</f>
        <v>0</v>
      </c>
      <c r="N179" s="63">
        <f>SUMIFS('Перечень инв.проектов ТКО'!W$4:W$95,'Перечень инв.проектов ТКО'!$C$4:$C$95,'Программа инв. проектов'!$S179,'Перечень инв.проектов ТКО'!$K$4:$K$95,'Программа инв. проектов'!$C179)</f>
        <v>0</v>
      </c>
      <c r="O179" s="63">
        <f>SUMIFS('Перечень инв.проектов ТКО'!X$4:X$95,'Перечень инв.проектов ТКО'!$C$4:$C$95,'Программа инв. проектов'!$S179,'Перечень инв.проектов ТКО'!$K$4:$K$95,'Программа инв. проектов'!$C179)</f>
        <v>0</v>
      </c>
      <c r="P179" s="63">
        <f>SUMIFS('Перечень инв.проектов ТКО'!Y$4:Y$95,'Перечень инв.проектов ТКО'!$C$4:$C$95,'Программа инв. проектов'!$S179,'Перечень инв.проектов ТКО'!$K$4:$K$95,'Программа инв. проектов'!$C179)</f>
        <v>0</v>
      </c>
      <c r="Q179" s="78">
        <f t="shared" si="91"/>
        <v>0</v>
      </c>
      <c r="R179" s="13"/>
      <c r="S179" s="69" t="s">
        <v>164</v>
      </c>
      <c r="AF179" s="17">
        <f t="shared" si="97"/>
        <v>0</v>
      </c>
    </row>
    <row r="180" spans="2:32" x14ac:dyDescent="0.2">
      <c r="B180" s="471" t="s">
        <v>168</v>
      </c>
      <c r="C180" s="73" t="s">
        <v>216</v>
      </c>
      <c r="D180" s="77">
        <f t="shared" ref="D180:G180" si="100">SUM(D181:D184)</f>
        <v>0</v>
      </c>
      <c r="E180" s="77">
        <f t="shared" si="100"/>
        <v>0</v>
      </c>
      <c r="F180" s="77">
        <f t="shared" si="100"/>
        <v>0</v>
      </c>
      <c r="G180" s="77">
        <f t="shared" si="100"/>
        <v>0</v>
      </c>
      <c r="H180" s="77">
        <f t="shared" ref="H180:P180" si="101">SUM(H181:H184)</f>
        <v>0</v>
      </c>
      <c r="I180" s="77">
        <f t="shared" si="101"/>
        <v>0</v>
      </c>
      <c r="J180" s="77">
        <f t="shared" si="101"/>
        <v>0</v>
      </c>
      <c r="K180" s="77">
        <f t="shared" si="101"/>
        <v>0</v>
      </c>
      <c r="L180" s="77">
        <f t="shared" si="101"/>
        <v>0</v>
      </c>
      <c r="M180" s="77">
        <f t="shared" si="101"/>
        <v>0</v>
      </c>
      <c r="N180" s="77">
        <f t="shared" si="101"/>
        <v>0</v>
      </c>
      <c r="O180" s="77">
        <f t="shared" si="101"/>
        <v>0</v>
      </c>
      <c r="P180" s="77">
        <f t="shared" si="101"/>
        <v>0</v>
      </c>
      <c r="Q180" s="78">
        <f t="shared" si="91"/>
        <v>0</v>
      </c>
      <c r="R180" s="13"/>
      <c r="S180" s="69"/>
      <c r="AF180" s="17">
        <f t="shared" si="97"/>
        <v>0</v>
      </c>
    </row>
    <row r="181" spans="2:32" x14ac:dyDescent="0.2">
      <c r="B181" s="471"/>
      <c r="C181" s="10" t="s">
        <v>163</v>
      </c>
      <c r="D181" s="63">
        <f>SUMIFS('Перечень инв.проектов ТКО'!M$4:M$95,'Перечень инв.проектов ТКО'!$C$4:$C$95,'Программа инв. проектов'!$S181,'Перечень инв.проектов ТКО'!$K$4:$K$95,'Программа инв. проектов'!$C181)</f>
        <v>0</v>
      </c>
      <c r="E181" s="63">
        <f>SUMIFS('Перечень инв.проектов ТКО'!N$4:N$95,'Перечень инв.проектов ТКО'!$C$4:$C$95,'Программа инв. проектов'!$S181,'Перечень инв.проектов ТКО'!$K$4:$K$95,'Программа инв. проектов'!$C181)</f>
        <v>0</v>
      </c>
      <c r="F181" s="63">
        <f>SUMIFS('Перечень инв.проектов ТКО'!O$4:O$95,'Перечень инв.проектов ТКО'!$C$4:$C$95,'Программа инв. проектов'!$S181,'Перечень инв.проектов ТКО'!$K$4:$K$95,'Программа инв. проектов'!$C181)</f>
        <v>0</v>
      </c>
      <c r="G181" s="63">
        <f>SUMIFS('Перечень инв.проектов ТКО'!P$4:P$95,'Перечень инв.проектов ТКО'!$C$4:$C$95,'Программа инв. проектов'!$S181,'Перечень инв.проектов ТКО'!$K$4:$K$95,'Программа инв. проектов'!$C181)</f>
        <v>0</v>
      </c>
      <c r="H181" s="63">
        <f>SUMIFS('Перечень инв.проектов ТКО'!Q$4:Q$95,'Перечень инв.проектов ТКО'!$C$4:$C$95,'Программа инв. проектов'!$S181,'Перечень инв.проектов ТКО'!$K$4:$K$95,'Программа инв. проектов'!$C181)</f>
        <v>0</v>
      </c>
      <c r="I181" s="63">
        <f>SUMIFS('Перечень инв.проектов ТКО'!R$4:R$95,'Перечень инв.проектов ТКО'!$C$4:$C$95,'Программа инв. проектов'!$S181,'Перечень инв.проектов ТКО'!$K$4:$K$95,'Программа инв. проектов'!$C181)</f>
        <v>0</v>
      </c>
      <c r="J181" s="63">
        <f>SUMIFS('Перечень инв.проектов ТКО'!S$4:S$95,'Перечень инв.проектов ТКО'!$C$4:$C$95,'Программа инв. проектов'!$S181,'Перечень инв.проектов ТКО'!$K$4:$K$95,'Программа инв. проектов'!$C181)</f>
        <v>0</v>
      </c>
      <c r="K181" s="63">
        <f>SUMIFS('Перечень инв.проектов ТКО'!T$4:T$95,'Перечень инв.проектов ТКО'!$C$4:$C$95,'Программа инв. проектов'!$S181,'Перечень инв.проектов ТКО'!$K$4:$K$95,'Программа инв. проектов'!$C181)</f>
        <v>0</v>
      </c>
      <c r="L181" s="63">
        <f>SUMIFS('Перечень инв.проектов ТКО'!U$4:U$95,'Перечень инв.проектов ТКО'!$C$4:$C$95,'Программа инв. проектов'!$S181,'Перечень инв.проектов ТКО'!$K$4:$K$95,'Программа инв. проектов'!$C181)</f>
        <v>0</v>
      </c>
      <c r="M181" s="63">
        <f>SUMIFS('Перечень инв.проектов ТКО'!V$4:V$95,'Перечень инв.проектов ТКО'!$C$4:$C$95,'Программа инв. проектов'!$S181,'Перечень инв.проектов ТКО'!$K$4:$K$95,'Программа инв. проектов'!$C181)</f>
        <v>0</v>
      </c>
      <c r="N181" s="63">
        <f>SUMIFS('Перечень инв.проектов ТКО'!W$4:W$95,'Перечень инв.проектов ТКО'!$C$4:$C$95,'Программа инв. проектов'!$S181,'Перечень инв.проектов ТКО'!$K$4:$K$95,'Программа инв. проектов'!$C181)</f>
        <v>0</v>
      </c>
      <c r="O181" s="63">
        <f>SUMIFS('Перечень инв.проектов ТКО'!X$4:X$95,'Перечень инв.проектов ТКО'!$C$4:$C$95,'Программа инв. проектов'!$S181,'Перечень инв.проектов ТКО'!$K$4:$K$95,'Программа инв. проектов'!$C181)</f>
        <v>0</v>
      </c>
      <c r="P181" s="63">
        <f>SUMIFS('Перечень инв.проектов ТКО'!Y$4:Y$95,'Перечень инв.проектов ТКО'!$C$4:$C$95,'Программа инв. проектов'!$S181,'Перечень инв.проектов ТКО'!$K$4:$K$95,'Программа инв. проектов'!$C181)</f>
        <v>0</v>
      </c>
      <c r="Q181" s="78">
        <f t="shared" si="91"/>
        <v>0</v>
      </c>
      <c r="R181" s="13"/>
      <c r="S181" s="69" t="s">
        <v>168</v>
      </c>
      <c r="AF181" s="17">
        <f t="shared" si="97"/>
        <v>0</v>
      </c>
    </row>
    <row r="182" spans="2:32" ht="25.5" x14ac:dyDescent="0.2">
      <c r="B182" s="471"/>
      <c r="C182" s="16" t="s">
        <v>166</v>
      </c>
      <c r="D182" s="63">
        <f>SUMIFS('Перечень инв.проектов ТКО'!M$4:M$95,'Перечень инв.проектов ТКО'!$C$4:$C$95,'Программа инв. проектов'!$S182,'Перечень инв.проектов ТКО'!$K$4:$K$95,'Программа инв. проектов'!$C182)</f>
        <v>0</v>
      </c>
      <c r="E182" s="63">
        <f>SUMIFS('Перечень инв.проектов ТКО'!N$4:N$95,'Перечень инв.проектов ТКО'!$C$4:$C$95,'Программа инв. проектов'!$S182,'Перечень инв.проектов ТКО'!$K$4:$K$95,'Программа инв. проектов'!$C182)</f>
        <v>0</v>
      </c>
      <c r="F182" s="63">
        <f>SUMIFS('Перечень инв.проектов ТКО'!O$4:O$95,'Перечень инв.проектов ТКО'!$C$4:$C$95,'Программа инв. проектов'!$S182,'Перечень инв.проектов ТКО'!$K$4:$K$95,'Программа инв. проектов'!$C182)</f>
        <v>0</v>
      </c>
      <c r="G182" s="63">
        <f>SUMIFS('Перечень инв.проектов ТКО'!P$4:P$95,'Перечень инв.проектов ТКО'!$C$4:$C$95,'Программа инв. проектов'!$S182,'Перечень инв.проектов ТКО'!$K$4:$K$95,'Программа инв. проектов'!$C182)</f>
        <v>0</v>
      </c>
      <c r="H182" s="63">
        <f>SUMIFS('Перечень инв.проектов ТКО'!Q$4:Q$95,'Перечень инв.проектов ТКО'!$C$4:$C$95,'Программа инв. проектов'!$S182,'Перечень инв.проектов ТКО'!$K$4:$K$95,'Программа инв. проектов'!$C182)</f>
        <v>0</v>
      </c>
      <c r="I182" s="63">
        <f>SUMIFS('Перечень инв.проектов ТКО'!R$4:R$95,'Перечень инв.проектов ТКО'!$C$4:$C$95,'Программа инв. проектов'!$S182,'Перечень инв.проектов ТКО'!$K$4:$K$95,'Программа инв. проектов'!$C182)</f>
        <v>0</v>
      </c>
      <c r="J182" s="63">
        <f>SUMIFS('Перечень инв.проектов ТКО'!S$4:S$95,'Перечень инв.проектов ТКО'!$C$4:$C$95,'Программа инв. проектов'!$S182,'Перечень инв.проектов ТКО'!$K$4:$K$95,'Программа инв. проектов'!$C182)</f>
        <v>0</v>
      </c>
      <c r="K182" s="63">
        <f>SUMIFS('Перечень инв.проектов ТКО'!T$4:T$95,'Перечень инв.проектов ТКО'!$C$4:$C$95,'Программа инв. проектов'!$S182,'Перечень инв.проектов ТКО'!$K$4:$K$95,'Программа инв. проектов'!$C182)</f>
        <v>0</v>
      </c>
      <c r="L182" s="63">
        <f>SUMIFS('Перечень инв.проектов ТКО'!U$4:U$95,'Перечень инв.проектов ТКО'!$C$4:$C$95,'Программа инв. проектов'!$S182,'Перечень инв.проектов ТКО'!$K$4:$K$95,'Программа инв. проектов'!$C182)</f>
        <v>0</v>
      </c>
      <c r="M182" s="63">
        <f>SUMIFS('Перечень инв.проектов ТКО'!V$4:V$95,'Перечень инв.проектов ТКО'!$C$4:$C$95,'Программа инв. проектов'!$S182,'Перечень инв.проектов ТКО'!$K$4:$K$95,'Программа инв. проектов'!$C182)</f>
        <v>0</v>
      </c>
      <c r="N182" s="63">
        <f>SUMIFS('Перечень инв.проектов ТКО'!W$4:W$95,'Перечень инв.проектов ТКО'!$C$4:$C$95,'Программа инв. проектов'!$S182,'Перечень инв.проектов ТКО'!$K$4:$K$95,'Программа инв. проектов'!$C182)</f>
        <v>0</v>
      </c>
      <c r="O182" s="63">
        <f>SUMIFS('Перечень инв.проектов ТКО'!X$4:X$95,'Перечень инв.проектов ТКО'!$C$4:$C$95,'Программа инв. проектов'!$S182,'Перечень инв.проектов ТКО'!$K$4:$K$95,'Программа инв. проектов'!$C182)</f>
        <v>0</v>
      </c>
      <c r="P182" s="63">
        <f>SUMIFS('Перечень инв.проектов ТКО'!Y$4:Y$95,'Перечень инв.проектов ТКО'!$C$4:$C$95,'Программа инв. проектов'!$S182,'Перечень инв.проектов ТКО'!$K$4:$K$95,'Программа инв. проектов'!$C182)</f>
        <v>0</v>
      </c>
      <c r="Q182" s="78">
        <f t="shared" si="91"/>
        <v>0</v>
      </c>
      <c r="R182" s="13"/>
      <c r="S182" s="69" t="s">
        <v>168</v>
      </c>
      <c r="AF182" s="17">
        <f t="shared" si="97"/>
        <v>0</v>
      </c>
    </row>
    <row r="183" spans="2:32" x14ac:dyDescent="0.2">
      <c r="B183" s="471"/>
      <c r="C183" s="16" t="s">
        <v>155</v>
      </c>
      <c r="D183" s="63">
        <f>SUMIFS('Перечень инв.проектов ТКО'!M$4:M$95,'Перечень инв.проектов ТКО'!$C$4:$C$95,'Программа инв. проектов'!$S183,'Перечень инв.проектов ТКО'!$K$4:$K$95,'Программа инв. проектов'!$C183)</f>
        <v>0</v>
      </c>
      <c r="E183" s="63">
        <f>SUMIFS('Перечень инв.проектов ТКО'!N$4:N$95,'Перечень инв.проектов ТКО'!$C$4:$C$95,'Программа инв. проектов'!$S183,'Перечень инв.проектов ТКО'!$K$4:$K$95,'Программа инв. проектов'!$C183)</f>
        <v>0</v>
      </c>
      <c r="F183" s="63">
        <f>SUMIFS('Перечень инв.проектов ТКО'!O$4:O$95,'Перечень инв.проектов ТКО'!$C$4:$C$95,'Программа инв. проектов'!$S183,'Перечень инв.проектов ТКО'!$K$4:$K$95,'Программа инв. проектов'!$C183)</f>
        <v>0</v>
      </c>
      <c r="G183" s="63">
        <f>SUMIFS('Перечень инв.проектов ТКО'!P$4:P$95,'Перечень инв.проектов ТКО'!$C$4:$C$95,'Программа инв. проектов'!$S183,'Перечень инв.проектов ТКО'!$K$4:$K$95,'Программа инв. проектов'!$C183)</f>
        <v>0</v>
      </c>
      <c r="H183" s="63">
        <f>SUMIFS('Перечень инв.проектов ТКО'!Q$4:Q$95,'Перечень инв.проектов ТКО'!$C$4:$C$95,'Программа инв. проектов'!$S183,'Перечень инв.проектов ТКО'!$K$4:$K$95,'Программа инв. проектов'!$C183)</f>
        <v>0</v>
      </c>
      <c r="I183" s="63">
        <f>SUMIFS('Перечень инв.проектов ТКО'!R$4:R$95,'Перечень инв.проектов ТКО'!$C$4:$C$95,'Программа инв. проектов'!$S183,'Перечень инв.проектов ТКО'!$K$4:$K$95,'Программа инв. проектов'!$C183)</f>
        <v>0</v>
      </c>
      <c r="J183" s="63">
        <f>SUMIFS('Перечень инв.проектов ТКО'!S$4:S$95,'Перечень инв.проектов ТКО'!$C$4:$C$95,'Программа инв. проектов'!$S183,'Перечень инв.проектов ТКО'!$K$4:$K$95,'Программа инв. проектов'!$C183)</f>
        <v>0</v>
      </c>
      <c r="K183" s="63">
        <f>SUMIFS('Перечень инв.проектов ТКО'!T$4:T$95,'Перечень инв.проектов ТКО'!$C$4:$C$95,'Программа инв. проектов'!$S183,'Перечень инв.проектов ТКО'!$K$4:$K$95,'Программа инв. проектов'!$C183)</f>
        <v>0</v>
      </c>
      <c r="L183" s="63">
        <f>SUMIFS('Перечень инв.проектов ТКО'!U$4:U$95,'Перечень инв.проектов ТКО'!$C$4:$C$95,'Программа инв. проектов'!$S183,'Перечень инв.проектов ТКО'!$K$4:$K$95,'Программа инв. проектов'!$C183)</f>
        <v>0</v>
      </c>
      <c r="M183" s="63">
        <f>SUMIFS('Перечень инв.проектов ТКО'!V$4:V$95,'Перечень инв.проектов ТКО'!$C$4:$C$95,'Программа инв. проектов'!$S183,'Перечень инв.проектов ТКО'!$K$4:$K$95,'Программа инв. проектов'!$C183)</f>
        <v>0</v>
      </c>
      <c r="N183" s="63">
        <f>SUMIFS('Перечень инв.проектов ТКО'!W$4:W$95,'Перечень инв.проектов ТКО'!$C$4:$C$95,'Программа инв. проектов'!$S183,'Перечень инв.проектов ТКО'!$K$4:$K$95,'Программа инв. проектов'!$C183)</f>
        <v>0</v>
      </c>
      <c r="O183" s="63">
        <f>SUMIFS('Перечень инв.проектов ТКО'!X$4:X$95,'Перечень инв.проектов ТКО'!$C$4:$C$95,'Программа инв. проектов'!$S183,'Перечень инв.проектов ТКО'!$K$4:$K$95,'Программа инв. проектов'!$C183)</f>
        <v>0</v>
      </c>
      <c r="P183" s="63">
        <f>SUMIFS('Перечень инв.проектов ТКО'!Y$4:Y$95,'Перечень инв.проектов ТКО'!$C$4:$C$95,'Программа инв. проектов'!$S183,'Перечень инв.проектов ТКО'!$K$4:$K$95,'Программа инв. проектов'!$C183)</f>
        <v>0</v>
      </c>
      <c r="Q183" s="78">
        <f t="shared" si="91"/>
        <v>0</v>
      </c>
      <c r="R183" s="13"/>
      <c r="S183" s="69" t="s">
        <v>168</v>
      </c>
      <c r="AF183" s="17">
        <f t="shared" si="97"/>
        <v>0</v>
      </c>
    </row>
    <row r="184" spans="2:32" x14ac:dyDescent="0.2">
      <c r="B184" s="471"/>
      <c r="C184" s="16" t="s">
        <v>310</v>
      </c>
      <c r="D184" s="63">
        <f>SUMIFS('Перечень инв.проектов ТКО'!M$4:M$95,'Перечень инв.проектов ТКО'!$C$4:$C$95,'Программа инв. проектов'!$S184,'Перечень инв.проектов ТКО'!$K$4:$K$95,'Программа инв. проектов'!$C184)</f>
        <v>0</v>
      </c>
      <c r="E184" s="63">
        <f>SUMIFS('Перечень инв.проектов ТКО'!N$4:N$95,'Перечень инв.проектов ТКО'!$C$4:$C$95,'Программа инв. проектов'!$S184,'Перечень инв.проектов ТКО'!$K$4:$K$95,'Программа инв. проектов'!$C184)</f>
        <v>0</v>
      </c>
      <c r="F184" s="63">
        <f>SUMIFS('Перечень инв.проектов ТКО'!O$4:O$95,'Перечень инв.проектов ТКО'!$C$4:$C$95,'Программа инв. проектов'!$S184,'Перечень инв.проектов ТКО'!$K$4:$K$95,'Программа инв. проектов'!$C184)</f>
        <v>0</v>
      </c>
      <c r="G184" s="63">
        <f>SUMIFS('Перечень инв.проектов ТКО'!P$4:P$95,'Перечень инв.проектов ТКО'!$C$4:$C$95,'Программа инв. проектов'!$S184,'Перечень инв.проектов ТКО'!$K$4:$K$95,'Программа инв. проектов'!$C184)</f>
        <v>0</v>
      </c>
      <c r="H184" s="63">
        <f>SUMIFS('Перечень инв.проектов ТКО'!Q$4:Q$95,'Перечень инв.проектов ТКО'!$C$4:$C$95,'Программа инв. проектов'!$S184,'Перечень инв.проектов ТКО'!$K$4:$K$95,'Программа инв. проектов'!$C184)</f>
        <v>0</v>
      </c>
      <c r="I184" s="63">
        <f>SUMIFS('Перечень инв.проектов ТКО'!R$4:R$95,'Перечень инв.проектов ТКО'!$C$4:$C$95,'Программа инв. проектов'!$S184,'Перечень инв.проектов ТКО'!$K$4:$K$95,'Программа инв. проектов'!$C184)</f>
        <v>0</v>
      </c>
      <c r="J184" s="63">
        <f>SUMIFS('Перечень инв.проектов ТКО'!S$4:S$95,'Перечень инв.проектов ТКО'!$C$4:$C$95,'Программа инв. проектов'!$S184,'Перечень инв.проектов ТКО'!$K$4:$K$95,'Программа инв. проектов'!$C184)</f>
        <v>0</v>
      </c>
      <c r="K184" s="63">
        <f>SUMIFS('Перечень инв.проектов ТКО'!T$4:T$95,'Перечень инв.проектов ТКО'!$C$4:$C$95,'Программа инв. проектов'!$S184,'Перечень инв.проектов ТКО'!$K$4:$K$95,'Программа инв. проектов'!$C184)</f>
        <v>0</v>
      </c>
      <c r="L184" s="63">
        <f>SUMIFS('Перечень инв.проектов ТКО'!U$4:U$95,'Перечень инв.проектов ТКО'!$C$4:$C$95,'Программа инв. проектов'!$S184,'Перечень инв.проектов ТКО'!$K$4:$K$95,'Программа инв. проектов'!$C184)</f>
        <v>0</v>
      </c>
      <c r="M184" s="63">
        <f>SUMIFS('Перечень инв.проектов ТКО'!V$4:V$95,'Перечень инв.проектов ТКО'!$C$4:$C$95,'Программа инв. проектов'!$S184,'Перечень инв.проектов ТКО'!$K$4:$K$95,'Программа инв. проектов'!$C184)</f>
        <v>0</v>
      </c>
      <c r="N184" s="63">
        <f>SUMIFS('Перечень инв.проектов ТКО'!W$4:W$95,'Перечень инв.проектов ТКО'!$C$4:$C$95,'Программа инв. проектов'!$S184,'Перечень инв.проектов ТКО'!$K$4:$K$95,'Программа инв. проектов'!$C184)</f>
        <v>0</v>
      </c>
      <c r="O184" s="63">
        <f>SUMIFS('Перечень инв.проектов ТКО'!X$4:X$95,'Перечень инв.проектов ТКО'!$C$4:$C$95,'Программа инв. проектов'!$S184,'Перечень инв.проектов ТКО'!$K$4:$K$95,'Программа инв. проектов'!$C184)</f>
        <v>0</v>
      </c>
      <c r="P184" s="63">
        <f>SUMIFS('Перечень инв.проектов ТКО'!Y$4:Y$95,'Перечень инв.проектов ТКО'!$C$4:$C$95,'Программа инв. проектов'!$S184,'Перечень инв.проектов ТКО'!$K$4:$K$95,'Программа инв. проектов'!$C184)</f>
        <v>0</v>
      </c>
      <c r="Q184" s="78">
        <f t="shared" si="91"/>
        <v>0</v>
      </c>
      <c r="R184" s="13"/>
      <c r="S184" s="69" t="s">
        <v>168</v>
      </c>
      <c r="AF184" s="17">
        <f t="shared" si="97"/>
        <v>0</v>
      </c>
    </row>
    <row r="185" spans="2:32" x14ac:dyDescent="0.2">
      <c r="B185" s="471" t="s">
        <v>218</v>
      </c>
      <c r="C185" s="73" t="s">
        <v>216</v>
      </c>
      <c r="D185" s="77">
        <f t="shared" ref="D185:G185" si="102">SUM(D186:D188)</f>
        <v>0</v>
      </c>
      <c r="E185" s="77">
        <f t="shared" si="102"/>
        <v>72200</v>
      </c>
      <c r="F185" s="77">
        <f t="shared" si="102"/>
        <v>0</v>
      </c>
      <c r="G185" s="77">
        <f t="shared" si="102"/>
        <v>0</v>
      </c>
      <c r="H185" s="77">
        <f t="shared" ref="H185:P185" si="103">SUM(H186:H188)</f>
        <v>0</v>
      </c>
      <c r="I185" s="77">
        <f t="shared" si="103"/>
        <v>0</v>
      </c>
      <c r="J185" s="77">
        <f t="shared" si="103"/>
        <v>0</v>
      </c>
      <c r="K185" s="77">
        <f t="shared" si="103"/>
        <v>0</v>
      </c>
      <c r="L185" s="77">
        <f t="shared" si="103"/>
        <v>0</v>
      </c>
      <c r="M185" s="77">
        <f t="shared" si="103"/>
        <v>0</v>
      </c>
      <c r="N185" s="77">
        <f t="shared" si="103"/>
        <v>0</v>
      </c>
      <c r="O185" s="77">
        <f t="shared" si="103"/>
        <v>0</v>
      </c>
      <c r="P185" s="77">
        <f t="shared" si="103"/>
        <v>0</v>
      </c>
      <c r="Q185" s="78">
        <f t="shared" si="91"/>
        <v>72200</v>
      </c>
      <c r="R185" s="13"/>
      <c r="S185" s="69"/>
      <c r="AF185" s="17">
        <f t="shared" si="97"/>
        <v>72200</v>
      </c>
    </row>
    <row r="186" spans="2:32" ht="25.5" x14ac:dyDescent="0.2">
      <c r="B186" s="471"/>
      <c r="C186" s="74" t="s">
        <v>222</v>
      </c>
      <c r="D186" s="63">
        <f>SUMIFS('Перечень инв.проектов ТКО'!M$4:M$95,'Перечень инв.проектов ТКО'!$D$4:$D$95,'Программа инв. проектов'!$S186)</f>
        <v>0</v>
      </c>
      <c r="E186" s="63">
        <f>SUMIFS('Перечень инв.проектов ТКО'!N$4:N$95,'Перечень инв.проектов ТКО'!$D$4:$D$95,'Программа инв. проектов'!$S186)</f>
        <v>0</v>
      </c>
      <c r="F186" s="63">
        <f>SUMIFS('Перечень инв.проектов ТКО'!O$4:O$95,'Перечень инв.проектов ТКО'!$D$4:$D$95,'Программа инв. проектов'!$S186)</f>
        <v>0</v>
      </c>
      <c r="G186" s="63">
        <f>SUMIFS('Перечень инв.проектов ТКО'!P$4:P$95,'Перечень инв.проектов ТКО'!$D$4:$D$95,'Программа инв. проектов'!$S186)</f>
        <v>0</v>
      </c>
      <c r="H186" s="63">
        <f>SUMIFS('Перечень инв.проектов ТКО'!Q$4:Q$95,'Перечень инв.проектов ТКО'!$D$4:$D$95,'Программа инв. проектов'!$S186)</f>
        <v>0</v>
      </c>
      <c r="I186" s="63">
        <f>SUMIFS('Перечень инв.проектов ТКО'!R$4:R$95,'Перечень инв.проектов ТКО'!$D$4:$D$95,'Программа инв. проектов'!$S186)</f>
        <v>0</v>
      </c>
      <c r="J186" s="63">
        <f>SUMIFS('Перечень инв.проектов ТКО'!S$4:S$95,'Перечень инв.проектов ТКО'!$D$4:$D$95,'Программа инв. проектов'!$S186)</f>
        <v>0</v>
      </c>
      <c r="K186" s="63">
        <f>SUMIFS('Перечень инв.проектов ТКО'!T$4:T$95,'Перечень инв.проектов ТКО'!$D$4:$D$95,'Программа инв. проектов'!$S186)</f>
        <v>0</v>
      </c>
      <c r="L186" s="63">
        <f>SUMIFS('Перечень инв.проектов ТКО'!U$4:U$95,'Перечень инв.проектов ТКО'!$D$4:$D$95,'Программа инв. проектов'!$S186)</f>
        <v>0</v>
      </c>
      <c r="M186" s="63">
        <f>SUMIFS('Перечень инв.проектов ТКО'!V$4:V$95,'Перечень инв.проектов ТКО'!$D$4:$D$95,'Программа инв. проектов'!$S186)</f>
        <v>0</v>
      </c>
      <c r="N186" s="63">
        <f>SUMIFS('Перечень инв.проектов ТКО'!W$4:W$95,'Перечень инв.проектов ТКО'!$D$4:$D$95,'Программа инв. проектов'!$S186)</f>
        <v>0</v>
      </c>
      <c r="O186" s="63">
        <f>SUMIFS('Перечень инв.проектов ТКО'!X$4:X$95,'Перечень инв.проектов ТКО'!$D$4:$D$95,'Программа инв. проектов'!$S186)</f>
        <v>0</v>
      </c>
      <c r="P186" s="63">
        <f>SUMIFS('Перечень инв.проектов ТКО'!Y$4:Y$95,'Перечень инв.проектов ТКО'!$D$4:$D$95,'Программа инв. проектов'!$S186)</f>
        <v>0</v>
      </c>
      <c r="Q186" s="78">
        <f t="shared" si="91"/>
        <v>0</v>
      </c>
      <c r="R186" s="13"/>
      <c r="S186" s="69" t="s">
        <v>154</v>
      </c>
      <c r="AF186" s="17">
        <f t="shared" si="97"/>
        <v>0</v>
      </c>
    </row>
    <row r="187" spans="2:32" ht="25.5" x14ac:dyDescent="0.2">
      <c r="B187" s="471"/>
      <c r="C187" s="74" t="s">
        <v>223</v>
      </c>
      <c r="D187" s="63">
        <f>SUMIFS('Перечень инв.проектов ТКО'!M$4:M$95,'Перечень инв.проектов ТКО'!$D$4:$D$95,'Программа инв. проектов'!$S187)</f>
        <v>0</v>
      </c>
      <c r="E187" s="63">
        <f>SUMIFS('Перечень инв.проектов ТКО'!N$4:N$95,'Перечень инв.проектов ТКО'!$D$4:$D$95,'Программа инв. проектов'!$S187)</f>
        <v>0</v>
      </c>
      <c r="F187" s="63">
        <f>SUMIFS('Перечень инв.проектов ТКО'!O$4:O$95,'Перечень инв.проектов ТКО'!$D$4:$D$95,'Программа инв. проектов'!$S187)</f>
        <v>0</v>
      </c>
      <c r="G187" s="63">
        <f>SUMIFS('Перечень инв.проектов ТКО'!P$4:P$95,'Перечень инв.проектов ТКО'!$D$4:$D$95,'Программа инв. проектов'!$S187)</f>
        <v>0</v>
      </c>
      <c r="H187" s="63">
        <f>SUMIFS('Перечень инв.проектов ТКО'!Q$4:Q$95,'Перечень инв.проектов ТКО'!$D$4:$D$95,'Программа инв. проектов'!$S187)</f>
        <v>0</v>
      </c>
      <c r="I187" s="63">
        <f>SUMIFS('Перечень инв.проектов ТКО'!R$4:R$95,'Перечень инв.проектов ТКО'!$D$4:$D$95,'Программа инв. проектов'!$S187)</f>
        <v>0</v>
      </c>
      <c r="J187" s="63">
        <f>SUMIFS('Перечень инв.проектов ТКО'!S$4:S$95,'Перечень инв.проектов ТКО'!$D$4:$D$95,'Программа инв. проектов'!$S187)</f>
        <v>0</v>
      </c>
      <c r="K187" s="63">
        <f>SUMIFS('Перечень инв.проектов ТКО'!T$4:T$95,'Перечень инв.проектов ТКО'!$D$4:$D$95,'Программа инв. проектов'!$S187)</f>
        <v>0</v>
      </c>
      <c r="L187" s="63">
        <f>SUMIFS('Перечень инв.проектов ТКО'!U$4:U$95,'Перечень инв.проектов ТКО'!$D$4:$D$95,'Программа инв. проектов'!$S187)</f>
        <v>0</v>
      </c>
      <c r="M187" s="63">
        <f>SUMIFS('Перечень инв.проектов ТКО'!V$4:V$95,'Перечень инв.проектов ТКО'!$D$4:$D$95,'Программа инв. проектов'!$S187)</f>
        <v>0</v>
      </c>
      <c r="N187" s="63">
        <f>SUMIFS('Перечень инв.проектов ТКО'!W$4:W$95,'Перечень инв.проектов ТКО'!$D$4:$D$95,'Программа инв. проектов'!$S187)</f>
        <v>0</v>
      </c>
      <c r="O187" s="63">
        <f>SUMIFS('Перечень инв.проектов ТКО'!X$4:X$95,'Перечень инв.проектов ТКО'!$D$4:$D$95,'Программа инв. проектов'!$S187)</f>
        <v>0</v>
      </c>
      <c r="P187" s="63">
        <f>SUMIFS('Перечень инв.проектов ТКО'!Y$4:Y$95,'Перечень инв.проектов ТКО'!$D$4:$D$95,'Программа инв. проектов'!$S187)</f>
        <v>0</v>
      </c>
      <c r="Q187" s="78">
        <f t="shared" si="91"/>
        <v>0</v>
      </c>
      <c r="R187" s="13"/>
      <c r="S187" s="69" t="s">
        <v>162</v>
      </c>
      <c r="AF187" s="17">
        <f t="shared" si="97"/>
        <v>0</v>
      </c>
    </row>
    <row r="188" spans="2:32" ht="25.5" x14ac:dyDescent="0.2">
      <c r="B188" s="471"/>
      <c r="C188" s="74" t="s">
        <v>221</v>
      </c>
      <c r="D188" s="63">
        <f>SUMIFS('Перечень инв.проектов ТКО'!M$4:M$95,'Перечень инв.проектов ТКО'!$D$4:$D$95,'Программа инв. проектов'!$S188)</f>
        <v>0</v>
      </c>
      <c r="E188" s="63">
        <f>SUMIFS('Перечень инв.проектов ТКО'!N$4:N$95,'Перечень инв.проектов ТКО'!$D$4:$D$95,'Программа инв. проектов'!$S188)</f>
        <v>72200</v>
      </c>
      <c r="F188" s="63">
        <f>SUMIFS('Перечень инв.проектов ТКО'!O$4:O$95,'Перечень инв.проектов ТКО'!$D$4:$D$95,'Программа инв. проектов'!$S188)</f>
        <v>0</v>
      </c>
      <c r="G188" s="63">
        <f>SUMIFS('Перечень инв.проектов ТКО'!P$4:P$95,'Перечень инв.проектов ТКО'!$D$4:$D$95,'Программа инв. проектов'!$S188)</f>
        <v>0</v>
      </c>
      <c r="H188" s="63">
        <f>SUMIFS('Перечень инв.проектов ТКО'!Q$4:Q$95,'Перечень инв.проектов ТКО'!$D$4:$D$95,'Программа инв. проектов'!$S188)</f>
        <v>0</v>
      </c>
      <c r="I188" s="63">
        <f>SUMIFS('Перечень инв.проектов ТКО'!R$4:R$95,'Перечень инв.проектов ТКО'!$D$4:$D$95,'Программа инв. проектов'!$S188)</f>
        <v>0</v>
      </c>
      <c r="J188" s="63">
        <f>SUMIFS('Перечень инв.проектов ТКО'!S$4:S$95,'Перечень инв.проектов ТКО'!$D$4:$D$95,'Программа инв. проектов'!$S188)</f>
        <v>0</v>
      </c>
      <c r="K188" s="63">
        <f>SUMIFS('Перечень инв.проектов ТКО'!T$4:T$95,'Перечень инв.проектов ТКО'!$D$4:$D$95,'Программа инв. проектов'!$S188)</f>
        <v>0</v>
      </c>
      <c r="L188" s="63">
        <f>SUMIFS('Перечень инв.проектов ТКО'!U$4:U$95,'Перечень инв.проектов ТКО'!$D$4:$D$95,'Программа инв. проектов'!$S188)</f>
        <v>0</v>
      </c>
      <c r="M188" s="63">
        <f>SUMIFS('Перечень инв.проектов ТКО'!V$4:V$95,'Перечень инв.проектов ТКО'!$D$4:$D$95,'Программа инв. проектов'!$S188)</f>
        <v>0</v>
      </c>
      <c r="N188" s="63">
        <f>SUMIFS('Перечень инв.проектов ТКО'!W$4:W$95,'Перечень инв.проектов ТКО'!$D$4:$D$95,'Программа инв. проектов'!$S188)</f>
        <v>0</v>
      </c>
      <c r="O188" s="63">
        <f>SUMIFS('Перечень инв.проектов ТКО'!X$4:X$95,'Перечень инв.проектов ТКО'!$D$4:$D$95,'Программа инв. проектов'!$S188)</f>
        <v>0</v>
      </c>
      <c r="P188" s="63">
        <f>SUMIFS('Перечень инв.проектов ТКО'!Y$4:Y$95,'Перечень инв.проектов ТКО'!$D$4:$D$95,'Программа инв. проектов'!$S188)</f>
        <v>0</v>
      </c>
      <c r="Q188" s="78">
        <f t="shared" si="91"/>
        <v>72200</v>
      </c>
      <c r="R188" s="13"/>
      <c r="S188" s="69" t="s">
        <v>165</v>
      </c>
      <c r="AF188" s="17">
        <f t="shared" si="97"/>
        <v>72200</v>
      </c>
    </row>
    <row r="191" spans="2:32" ht="12.75" customHeight="1" x14ac:dyDescent="0.2">
      <c r="B191" s="475" t="s">
        <v>225</v>
      </c>
      <c r="C191" s="476" t="s">
        <v>151</v>
      </c>
      <c r="D191" s="472" t="s">
        <v>149</v>
      </c>
      <c r="E191" s="473"/>
      <c r="F191" s="473"/>
      <c r="G191" s="473"/>
      <c r="H191" s="473"/>
      <c r="I191" s="473"/>
      <c r="J191" s="473"/>
      <c r="K191" s="473"/>
      <c r="L191" s="473"/>
      <c r="M191" s="473"/>
      <c r="N191" s="473"/>
      <c r="O191" s="473"/>
      <c r="P191" s="473"/>
      <c r="Q191" s="474"/>
      <c r="R191" s="13"/>
    </row>
    <row r="192" spans="2:32" x14ac:dyDescent="0.2">
      <c r="B192" s="475"/>
      <c r="C192" s="476"/>
      <c r="D192" s="5">
        <v>2023</v>
      </c>
      <c r="E192" s="5">
        <v>2024</v>
      </c>
      <c r="F192" s="5">
        <v>2025</v>
      </c>
      <c r="G192" s="5">
        <v>2026</v>
      </c>
      <c r="H192" s="5">
        <v>2027</v>
      </c>
      <c r="I192" s="5">
        <v>2028</v>
      </c>
      <c r="J192" s="5">
        <v>2029</v>
      </c>
      <c r="K192" s="5">
        <v>2030</v>
      </c>
      <c r="L192" s="5">
        <v>2031</v>
      </c>
      <c r="M192" s="5">
        <v>2032</v>
      </c>
      <c r="N192" s="5">
        <v>2033</v>
      </c>
      <c r="O192" s="5">
        <v>2034</v>
      </c>
      <c r="P192" s="5">
        <v>2035</v>
      </c>
      <c r="Q192" s="42" t="s">
        <v>215</v>
      </c>
      <c r="R192" s="13"/>
    </row>
    <row r="193" spans="2:34" x14ac:dyDescent="0.2">
      <c r="B193" s="20" t="s">
        <v>226</v>
      </c>
      <c r="C193" s="20"/>
      <c r="D193" s="77">
        <f t="shared" ref="D193:G193" si="104">SUM(D194:D199)</f>
        <v>253041.18</v>
      </c>
      <c r="E193" s="77">
        <f t="shared" si="104"/>
        <v>853529.78687701817</v>
      </c>
      <c r="F193" s="77">
        <f t="shared" si="104"/>
        <v>2365107.5485406406</v>
      </c>
      <c r="G193" s="77">
        <f t="shared" si="104"/>
        <v>1619004.3793592602</v>
      </c>
      <c r="H193" s="77">
        <f t="shared" ref="H193:P193" si="105">SUM(H194:H199)</f>
        <v>1014841.7800861538</v>
      </c>
      <c r="I193" s="77">
        <f t="shared" si="105"/>
        <v>751268.28546638577</v>
      </c>
      <c r="J193" s="77">
        <f t="shared" si="105"/>
        <v>762033.91035108839</v>
      </c>
      <c r="K193" s="77">
        <f t="shared" si="105"/>
        <v>324535.75316044281</v>
      </c>
      <c r="L193" s="77">
        <f t="shared" si="105"/>
        <v>283320.98495580483</v>
      </c>
      <c r="M193" s="77">
        <f t="shared" si="105"/>
        <v>291080.56930113456</v>
      </c>
      <c r="N193" s="77">
        <f t="shared" si="105"/>
        <v>372970.84902355354</v>
      </c>
      <c r="O193" s="77">
        <f t="shared" si="105"/>
        <v>379345.56215170631</v>
      </c>
      <c r="P193" s="77">
        <f t="shared" si="105"/>
        <v>318540.15276313049</v>
      </c>
      <c r="Q193" s="77">
        <f ca="1">SUM(Q194:Q199)</f>
        <v>9588620.7420363203</v>
      </c>
      <c r="R193" s="13"/>
      <c r="AG193" s="12"/>
    </row>
    <row r="194" spans="2:34" ht="25.5" x14ac:dyDescent="0.2">
      <c r="B194" s="19" t="s">
        <v>153</v>
      </c>
      <c r="C194" s="80">
        <f>Q194</f>
        <v>1917334.2517131269</v>
      </c>
      <c r="D194" s="62">
        <f t="shared" ref="D194:Q199" si="106">SUMIFS(D$3:D$188,$S$3:$S$188,$B194)</f>
        <v>123081.51000000001</v>
      </c>
      <c r="E194" s="62">
        <f t="shared" si="106"/>
        <v>184983.40692027786</v>
      </c>
      <c r="F194" s="62">
        <f t="shared" si="106"/>
        <v>139410.993923856</v>
      </c>
      <c r="G194" s="62">
        <f t="shared" si="106"/>
        <v>163728.01956081027</v>
      </c>
      <c r="H194" s="62">
        <f t="shared" si="106"/>
        <v>153215.49014324264</v>
      </c>
      <c r="I194" s="62">
        <f t="shared" si="106"/>
        <v>134034.49403697235</v>
      </c>
      <c r="J194" s="62">
        <f t="shared" si="106"/>
        <v>129000.04419845127</v>
      </c>
      <c r="K194" s="62">
        <f t="shared" si="106"/>
        <v>134160.04596638933</v>
      </c>
      <c r="L194" s="62">
        <f t="shared" si="106"/>
        <v>139526.44780504488</v>
      </c>
      <c r="M194" s="62">
        <f t="shared" si="106"/>
        <v>145107.50571724668</v>
      </c>
      <c r="N194" s="62">
        <f t="shared" si="106"/>
        <v>150911.80594593656</v>
      </c>
      <c r="O194" s="62">
        <f t="shared" si="106"/>
        <v>156948.27818377403</v>
      </c>
      <c r="P194" s="62">
        <f t="shared" si="106"/>
        <v>163226.20931112499</v>
      </c>
      <c r="Q194" s="62">
        <f t="shared" si="106"/>
        <v>1917334.2517131269</v>
      </c>
      <c r="R194" s="38">
        <f ca="1">Q194/$Q$193</f>
        <v>0.19995933756223896</v>
      </c>
      <c r="AG194" s="12" t="e">
        <f>SUM(AG5,#REF!,#REF!,#REF!,#REF!,#REF!,#REF!,#REF!,#REF!,#REF!,#REF!,#REF!,AG88,#REF!)</f>
        <v>#REF!</v>
      </c>
    </row>
    <row r="195" spans="2:34" ht="38.25" x14ac:dyDescent="0.2">
      <c r="B195" s="86" t="s">
        <v>164</v>
      </c>
      <c r="C195" s="80">
        <f t="shared" ref="C195:C199" ca="1" si="107">Q195</f>
        <v>6390948.7924765283</v>
      </c>
      <c r="D195" s="62">
        <f t="shared" si="106"/>
        <v>129959.67</v>
      </c>
      <c r="E195" s="62">
        <f t="shared" si="106"/>
        <v>597979.96646548738</v>
      </c>
      <c r="F195" s="62">
        <f t="shared" si="106"/>
        <v>2196115.4604588076</v>
      </c>
      <c r="G195" s="62">
        <f t="shared" si="106"/>
        <v>1443400.4985963495</v>
      </c>
      <c r="H195" s="62">
        <f t="shared" si="106"/>
        <v>852196.50291591603</v>
      </c>
      <c r="I195" s="62">
        <f t="shared" si="106"/>
        <v>503476.6279080988</v>
      </c>
      <c r="J195" s="62">
        <f t="shared" si="106"/>
        <v>514726.41889047006</v>
      </c>
      <c r="K195" s="62">
        <f t="shared" si="106"/>
        <v>67335.957241399694</v>
      </c>
      <c r="L195" s="62">
        <f t="shared" si="106"/>
        <v>15833.2</v>
      </c>
      <c r="M195" s="62">
        <f t="shared" si="106"/>
        <v>16466.53</v>
      </c>
      <c r="N195" s="62">
        <f t="shared" si="106"/>
        <v>17125.18</v>
      </c>
      <c r="O195" s="62">
        <f t="shared" si="106"/>
        <v>17810.189999999999</v>
      </c>
      <c r="P195" s="62">
        <f t="shared" si="106"/>
        <v>18522.589999999997</v>
      </c>
      <c r="Q195" s="62">
        <f t="shared" ca="1" si="106"/>
        <v>6390948.7924765283</v>
      </c>
      <c r="R195" s="38">
        <f ca="1">Q195/$Q$193</f>
        <v>0.66651387769032699</v>
      </c>
      <c r="AG195" s="12" t="e">
        <f>SUM(AG10,#REF!,#REF!,#REF!,#REF!,#REF!,#REF!,#REF!,#REF!,#REF!,#REF!,#REF!,AG93,#REF!,AG175)</f>
        <v>#REF!</v>
      </c>
    </row>
    <row r="196" spans="2:34" ht="46.5" customHeight="1" x14ac:dyDescent="0.2">
      <c r="B196" s="19" t="s">
        <v>168</v>
      </c>
      <c r="C196" s="80">
        <f t="shared" si="107"/>
        <v>32878.802852453417</v>
      </c>
      <c r="D196" s="62">
        <f t="shared" si="106"/>
        <v>0</v>
      </c>
      <c r="E196" s="62">
        <f t="shared" si="106"/>
        <v>5922.4048441158957</v>
      </c>
      <c r="F196" s="62">
        <f t="shared" si="106"/>
        <v>5416.1141557582378</v>
      </c>
      <c r="G196" s="62">
        <f t="shared" si="106"/>
        <v>5632.7587219885672</v>
      </c>
      <c r="H196" s="62">
        <f t="shared" si="106"/>
        <v>2936.9604476788604</v>
      </c>
      <c r="I196" s="62">
        <f t="shared" si="106"/>
        <v>3054.4388655860148</v>
      </c>
      <c r="J196" s="62">
        <f t="shared" si="106"/>
        <v>3176.6164202094556</v>
      </c>
      <c r="K196" s="62">
        <f t="shared" si="106"/>
        <v>3303.681077017834</v>
      </c>
      <c r="L196" s="62">
        <f t="shared" si="106"/>
        <v>3435.8283200985475</v>
      </c>
      <c r="M196" s="62">
        <f t="shared" si="106"/>
        <v>0</v>
      </c>
      <c r="N196" s="62">
        <f t="shared" si="106"/>
        <v>0</v>
      </c>
      <c r="O196" s="62">
        <f t="shared" si="106"/>
        <v>0</v>
      </c>
      <c r="P196" s="62">
        <f t="shared" si="106"/>
        <v>0</v>
      </c>
      <c r="Q196" s="62">
        <f t="shared" si="106"/>
        <v>32878.802852453417</v>
      </c>
      <c r="R196" s="38">
        <f ca="1">Q196/$Q$193</f>
        <v>3.4289397544230117E-3</v>
      </c>
      <c r="AG196" s="12" t="e">
        <f>SUM(AG20,#REF!,#REF!,#REF!,#REF!,#REF!,#REF!,#REF!,#REF!,#REF!,#REF!,#REF!,#REF!,AG103,#REF!,AG180)</f>
        <v>#REF!</v>
      </c>
    </row>
    <row r="197" spans="2:34" ht="25.5" x14ac:dyDescent="0.2">
      <c r="B197" s="19" t="s">
        <v>167</v>
      </c>
      <c r="C197" s="80">
        <f ca="1">Q197</f>
        <v>1164652.8894988077</v>
      </c>
      <c r="D197" s="62">
        <f t="shared" si="106"/>
        <v>0</v>
      </c>
      <c r="E197" s="62">
        <f t="shared" si="106"/>
        <v>0</v>
      </c>
      <c r="F197" s="62">
        <f t="shared" si="106"/>
        <v>6002.983153953629</v>
      </c>
      <c r="G197" s="62">
        <f t="shared" si="106"/>
        <v>6243.1024801117737</v>
      </c>
      <c r="H197" s="62">
        <f t="shared" si="106"/>
        <v>6492.8265793162445</v>
      </c>
      <c r="I197" s="62">
        <f t="shared" si="106"/>
        <v>110702.72465572851</v>
      </c>
      <c r="J197" s="62">
        <f t="shared" si="106"/>
        <v>115130.83084195766</v>
      </c>
      <c r="K197" s="62">
        <f t="shared" si="106"/>
        <v>119736.06887563597</v>
      </c>
      <c r="L197" s="62">
        <f t="shared" si="106"/>
        <v>124525.50883066139</v>
      </c>
      <c r="M197" s="62">
        <f t="shared" si="106"/>
        <v>129506.53358388785</v>
      </c>
      <c r="N197" s="62">
        <f t="shared" si="106"/>
        <v>204933.86307761696</v>
      </c>
      <c r="O197" s="62">
        <f t="shared" si="106"/>
        <v>204587.09396793225</v>
      </c>
      <c r="P197" s="62">
        <f t="shared" si="106"/>
        <v>136791.35345200548</v>
      </c>
      <c r="Q197" s="62">
        <f t="shared" ca="1" si="106"/>
        <v>1164652.8894988077</v>
      </c>
      <c r="R197" s="38">
        <f ca="1">Q197/$Q$193</f>
        <v>0.12146198299334052</v>
      </c>
      <c r="AG197" s="12" t="e">
        <f>SUM(AG15,#REF!,#REF!,#REF!,#REF!,#REF!,#REF!,#REF!,#REF!,#REF!)</f>
        <v>#REF!</v>
      </c>
    </row>
    <row r="198" spans="2:34" ht="38.25" x14ac:dyDescent="0.2">
      <c r="B198" s="19" t="s">
        <v>169</v>
      </c>
      <c r="C198" s="80">
        <f>Q198</f>
        <v>82806.005495402118</v>
      </c>
      <c r="D198" s="62">
        <f t="shared" si="106"/>
        <v>0</v>
      </c>
      <c r="E198" s="62">
        <f t="shared" si="106"/>
        <v>64644.008647137111</v>
      </c>
      <c r="F198" s="62">
        <f t="shared" si="106"/>
        <v>18161.996848265007</v>
      </c>
      <c r="G198" s="62">
        <f t="shared" si="106"/>
        <v>0</v>
      </c>
      <c r="H198" s="62">
        <f t="shared" si="106"/>
        <v>0</v>
      </c>
      <c r="I198" s="62">
        <f t="shared" si="106"/>
        <v>0</v>
      </c>
      <c r="J198" s="62">
        <f t="shared" si="106"/>
        <v>0</v>
      </c>
      <c r="K198" s="62">
        <f t="shared" si="106"/>
        <v>0</v>
      </c>
      <c r="L198" s="62">
        <f t="shared" si="106"/>
        <v>0</v>
      </c>
      <c r="M198" s="62">
        <f t="shared" si="106"/>
        <v>0</v>
      </c>
      <c r="N198" s="62">
        <f t="shared" si="106"/>
        <v>0</v>
      </c>
      <c r="O198" s="62">
        <f t="shared" si="106"/>
        <v>0</v>
      </c>
      <c r="P198" s="62">
        <f t="shared" si="106"/>
        <v>0</v>
      </c>
      <c r="Q198" s="62">
        <f t="shared" si="106"/>
        <v>82806.005495402118</v>
      </c>
      <c r="R198" s="38"/>
      <c r="AG198" s="12"/>
    </row>
    <row r="199" spans="2:34" ht="25.5" x14ac:dyDescent="0.2">
      <c r="B199" s="86" t="s">
        <v>185</v>
      </c>
      <c r="C199" s="80">
        <f t="shared" si="107"/>
        <v>0</v>
      </c>
      <c r="D199" s="62">
        <f t="shared" si="106"/>
        <v>0</v>
      </c>
      <c r="E199" s="62">
        <f t="shared" si="106"/>
        <v>0</v>
      </c>
      <c r="F199" s="62">
        <f t="shared" si="106"/>
        <v>0</v>
      </c>
      <c r="G199" s="62">
        <f t="shared" si="106"/>
        <v>0</v>
      </c>
      <c r="H199" s="62">
        <f t="shared" si="106"/>
        <v>0</v>
      </c>
      <c r="I199" s="62">
        <f t="shared" si="106"/>
        <v>0</v>
      </c>
      <c r="J199" s="62">
        <f t="shared" si="106"/>
        <v>0</v>
      </c>
      <c r="K199" s="62">
        <f t="shared" si="106"/>
        <v>0</v>
      </c>
      <c r="L199" s="62">
        <f t="shared" si="106"/>
        <v>0</v>
      </c>
      <c r="M199" s="62">
        <f t="shared" si="106"/>
        <v>0</v>
      </c>
      <c r="N199" s="62">
        <f t="shared" si="106"/>
        <v>0</v>
      </c>
      <c r="O199" s="62">
        <f t="shared" si="106"/>
        <v>0</v>
      </c>
      <c r="P199" s="62">
        <f t="shared" si="106"/>
        <v>0</v>
      </c>
      <c r="Q199" s="62">
        <f t="shared" si="106"/>
        <v>0</v>
      </c>
      <c r="R199" s="38">
        <f ca="1">Q199/$Q$193</f>
        <v>0</v>
      </c>
      <c r="AG199" s="12"/>
    </row>
    <row r="200" spans="2:34" x14ac:dyDescent="0.2">
      <c r="B200" s="20" t="s">
        <v>227</v>
      </c>
      <c r="C200" s="20"/>
      <c r="D200" s="77">
        <f t="shared" ref="D200:Q200" si="108">D201+D202+D203</f>
        <v>253041.18000000002</v>
      </c>
      <c r="E200" s="77">
        <f t="shared" si="108"/>
        <v>853529.78687701828</v>
      </c>
      <c r="F200" s="77">
        <f t="shared" si="108"/>
        <v>2365107.5485406402</v>
      </c>
      <c r="G200" s="77">
        <f t="shared" si="108"/>
        <v>1619004.3793592597</v>
      </c>
      <c r="H200" s="77">
        <f t="shared" ref="H200:P200" si="109">H201+H202+H203</f>
        <v>1014841.7800861539</v>
      </c>
      <c r="I200" s="77">
        <f t="shared" si="109"/>
        <v>751268.28546638577</v>
      </c>
      <c r="J200" s="77">
        <f t="shared" si="109"/>
        <v>762033.91035108839</v>
      </c>
      <c r="K200" s="77">
        <f t="shared" si="109"/>
        <v>324535.75316044281</v>
      </c>
      <c r="L200" s="77">
        <f t="shared" si="109"/>
        <v>283320.98495580483</v>
      </c>
      <c r="M200" s="77">
        <f t="shared" si="109"/>
        <v>291080.5693011345</v>
      </c>
      <c r="N200" s="77">
        <f t="shared" si="109"/>
        <v>372970.84902355348</v>
      </c>
      <c r="O200" s="77">
        <f t="shared" si="109"/>
        <v>379345.56215170625</v>
      </c>
      <c r="P200" s="77">
        <f t="shared" si="109"/>
        <v>318540.15276313043</v>
      </c>
      <c r="Q200" s="77">
        <f t="shared" si="108"/>
        <v>9588620.7420363184</v>
      </c>
      <c r="R200" s="13"/>
      <c r="AG200" s="12"/>
    </row>
    <row r="201" spans="2:34" x14ac:dyDescent="0.2">
      <c r="B201" s="19" t="s">
        <v>154</v>
      </c>
      <c r="C201" s="169">
        <f t="shared" ref="C201:C203" si="110">Q201</f>
        <v>8157.3647115723279</v>
      </c>
      <c r="D201" s="62">
        <f t="shared" ref="D201:Q203" si="111">SUMIFS(D$3:D$188,$S$3:$S$188,$B201)</f>
        <v>0</v>
      </c>
      <c r="E201" s="62">
        <f t="shared" si="111"/>
        <v>4536.7147115723283</v>
      </c>
      <c r="F201" s="62">
        <f t="shared" si="111"/>
        <v>1774.83</v>
      </c>
      <c r="G201" s="62">
        <f t="shared" si="111"/>
        <v>1845.82</v>
      </c>
      <c r="H201" s="62">
        <f t="shared" si="111"/>
        <v>0</v>
      </c>
      <c r="I201" s="62">
        <f t="shared" si="111"/>
        <v>0</v>
      </c>
      <c r="J201" s="62">
        <f t="shared" si="111"/>
        <v>0</v>
      </c>
      <c r="K201" s="62">
        <f t="shared" si="111"/>
        <v>0</v>
      </c>
      <c r="L201" s="62">
        <f t="shared" si="111"/>
        <v>0</v>
      </c>
      <c r="M201" s="62">
        <f t="shared" si="111"/>
        <v>0</v>
      </c>
      <c r="N201" s="62">
        <f t="shared" si="111"/>
        <v>0</v>
      </c>
      <c r="O201" s="62">
        <f t="shared" si="111"/>
        <v>0</v>
      </c>
      <c r="P201" s="62">
        <f t="shared" si="111"/>
        <v>0</v>
      </c>
      <c r="Q201" s="62">
        <f t="shared" si="111"/>
        <v>8157.3647115723279</v>
      </c>
      <c r="R201" s="168">
        <f ca="1">Q201/$Q$193</f>
        <v>8.5073389917390363E-4</v>
      </c>
      <c r="AG201" s="12" t="e">
        <f>SUM(AG12,#REF!,#REF!,#REF!,#REF!,#REF!,#REF!,#REF!,#REF!,#REF!,#REF!,#REF!,AG95,#REF!)</f>
        <v>#REF!</v>
      </c>
    </row>
    <row r="202" spans="2:34" x14ac:dyDescent="0.2">
      <c r="B202" s="86" t="s">
        <v>162</v>
      </c>
      <c r="C202" s="169">
        <f t="shared" si="110"/>
        <v>2826027.2024213322</v>
      </c>
      <c r="D202" s="62">
        <f t="shared" si="111"/>
        <v>0</v>
      </c>
      <c r="E202" s="62">
        <f t="shared" si="111"/>
        <v>7985.1912348268097</v>
      </c>
      <c r="F202" s="62">
        <f t="shared" si="111"/>
        <v>868339.73470786586</v>
      </c>
      <c r="G202" s="62">
        <f t="shared" si="111"/>
        <v>867178.84840447351</v>
      </c>
      <c r="H202" s="62">
        <f t="shared" si="111"/>
        <v>463270.60016769503</v>
      </c>
      <c r="I202" s="62">
        <f t="shared" si="111"/>
        <v>151652.16850807492</v>
      </c>
      <c r="J202" s="62">
        <f t="shared" si="111"/>
        <v>366924.16111444519</v>
      </c>
      <c r="K202" s="62">
        <f t="shared" si="111"/>
        <v>17621.607954333824</v>
      </c>
      <c r="L202" s="62">
        <f t="shared" si="111"/>
        <v>21353.717072507174</v>
      </c>
      <c r="M202" s="62">
        <f t="shared" si="111"/>
        <v>18634.606302504973</v>
      </c>
      <c r="N202" s="62">
        <f t="shared" si="111"/>
        <v>19379.986954605174</v>
      </c>
      <c r="O202" s="62">
        <f t="shared" si="111"/>
        <v>11611.07</v>
      </c>
      <c r="P202" s="62">
        <f t="shared" si="111"/>
        <v>12075.509999999998</v>
      </c>
      <c r="Q202" s="62">
        <f t="shared" si="111"/>
        <v>2826027.2024213322</v>
      </c>
      <c r="R202" s="168">
        <f ca="1">Q202/$Q$193</f>
        <v>0.29472718532208558</v>
      </c>
      <c r="AG202" s="12" t="e">
        <f>SUM(AG17,#REF!,#REF!,#REF!,#REF!,#REF!,#REF!,#REF!,#REF!,#REF!,#REF!,#REF!,AG100,#REF!,#REF!)</f>
        <v>#REF!</v>
      </c>
    </row>
    <row r="203" spans="2:34" ht="13.15" customHeight="1" x14ac:dyDescent="0.2">
      <c r="B203" s="19" t="s">
        <v>165</v>
      </c>
      <c r="C203" s="169">
        <f t="shared" si="110"/>
        <v>6754436.1749034142</v>
      </c>
      <c r="D203" s="62">
        <f t="shared" si="111"/>
        <v>253041.18000000002</v>
      </c>
      <c r="E203" s="62">
        <f t="shared" si="111"/>
        <v>841007.8809306192</v>
      </c>
      <c r="F203" s="62">
        <f t="shared" si="111"/>
        <v>1494992.9838327745</v>
      </c>
      <c r="G203" s="62">
        <f t="shared" si="111"/>
        <v>749979.71095478639</v>
      </c>
      <c r="H203" s="62">
        <f t="shared" si="111"/>
        <v>551571.1799184588</v>
      </c>
      <c r="I203" s="62">
        <f t="shared" si="111"/>
        <v>599616.11695831083</v>
      </c>
      <c r="J203" s="62">
        <f t="shared" si="111"/>
        <v>395109.7492366432</v>
      </c>
      <c r="K203" s="62">
        <f t="shared" si="111"/>
        <v>306914.14520610898</v>
      </c>
      <c r="L203" s="62">
        <f t="shared" si="111"/>
        <v>261967.26788329767</v>
      </c>
      <c r="M203" s="62">
        <f t="shared" si="111"/>
        <v>272445.96299862955</v>
      </c>
      <c r="N203" s="62">
        <f t="shared" si="111"/>
        <v>353590.86206894834</v>
      </c>
      <c r="O203" s="62">
        <f t="shared" si="111"/>
        <v>367734.49215170625</v>
      </c>
      <c r="P203" s="62">
        <f t="shared" si="111"/>
        <v>306464.64276313043</v>
      </c>
      <c r="Q203" s="62">
        <f t="shared" si="111"/>
        <v>6754436.1749034142</v>
      </c>
      <c r="R203" s="168">
        <f ca="1">Q203/$Q$193</f>
        <v>0.70442208077874036</v>
      </c>
      <c r="AG203" s="12" t="e">
        <f>SUM(AG27,#REF!,#REF!,#REF!,#REF!,#REF!,#REF!,#REF!,#REF!,#REF!,#REF!,#REF!,#REF!,AG110,#REF!,AG187)</f>
        <v>#REF!</v>
      </c>
    </row>
    <row r="204" spans="2:34" x14ac:dyDescent="0.2"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AH204" s="12"/>
    </row>
    <row r="205" spans="2:34" ht="25.5" x14ac:dyDescent="0.2">
      <c r="B205" s="39" t="s">
        <v>153</v>
      </c>
      <c r="C205" s="62">
        <f>C194/1000</f>
        <v>1917.3342517131268</v>
      </c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2:34" x14ac:dyDescent="0.2">
      <c r="B206" s="75" t="s">
        <v>228</v>
      </c>
      <c r="C206" s="62">
        <f ca="1">C195/1000</f>
        <v>6390.9487924765281</v>
      </c>
    </row>
    <row r="207" spans="2:34" ht="25.5" x14ac:dyDescent="0.2">
      <c r="B207" s="39" t="s">
        <v>167</v>
      </c>
      <c r="C207" s="62">
        <f ca="1">C197/1000</f>
        <v>1164.6528894988078</v>
      </c>
    </row>
    <row r="208" spans="2:34" x14ac:dyDescent="0.2">
      <c r="B208" s="75" t="s">
        <v>95</v>
      </c>
      <c r="C208" s="62">
        <f>(C199+C196+C198)/1000</f>
        <v>115.68480834785554</v>
      </c>
    </row>
    <row r="209" spans="3:4" x14ac:dyDescent="0.2">
      <c r="C209" s="7"/>
    </row>
    <row r="210" spans="3:4" x14ac:dyDescent="0.2">
      <c r="C210" s="7"/>
    </row>
    <row r="211" spans="3:4" x14ac:dyDescent="0.2">
      <c r="C211" s="7"/>
    </row>
    <row r="212" spans="3:4" x14ac:dyDescent="0.2">
      <c r="C212" s="7"/>
    </row>
    <row r="213" spans="3:4" x14ac:dyDescent="0.2">
      <c r="C213" s="7"/>
    </row>
    <row r="214" spans="3:4" x14ac:dyDescent="0.2">
      <c r="C214" s="7"/>
    </row>
    <row r="215" spans="3:4" x14ac:dyDescent="0.2">
      <c r="C215" s="7"/>
    </row>
    <row r="216" spans="3:4" x14ac:dyDescent="0.2">
      <c r="C216" s="7"/>
    </row>
    <row r="217" spans="3:4" x14ac:dyDescent="0.2">
      <c r="C217" s="7"/>
    </row>
    <row r="218" spans="3:4" x14ac:dyDescent="0.2">
      <c r="C218" s="7"/>
      <c r="D218" s="14"/>
    </row>
    <row r="219" spans="3:4" x14ac:dyDescent="0.2">
      <c r="C219" s="7"/>
      <c r="D219" s="14"/>
    </row>
    <row r="220" spans="3:4" x14ac:dyDescent="0.2">
      <c r="C220" s="7"/>
    </row>
    <row r="221" spans="3:4" x14ac:dyDescent="0.2">
      <c r="C221" s="7"/>
    </row>
    <row r="222" spans="3:4" x14ac:dyDescent="0.2">
      <c r="C222" s="7"/>
    </row>
    <row r="223" spans="3:4" x14ac:dyDescent="0.2">
      <c r="C223" s="7"/>
    </row>
    <row r="224" spans="3:4" x14ac:dyDescent="0.2">
      <c r="C224" s="7"/>
    </row>
    <row r="225" spans="2:41" x14ac:dyDescent="0.2">
      <c r="C225" s="7"/>
    </row>
    <row r="226" spans="2:41" x14ac:dyDescent="0.2">
      <c r="C226" s="7"/>
    </row>
    <row r="227" spans="2:41" x14ac:dyDescent="0.2">
      <c r="C227" s="7"/>
      <c r="D227" s="14"/>
      <c r="E227" s="14"/>
    </row>
    <row r="228" spans="2:41" x14ac:dyDescent="0.2">
      <c r="C228" s="7"/>
      <c r="D228" s="14"/>
      <c r="E228" s="14"/>
    </row>
    <row r="229" spans="2:41" x14ac:dyDescent="0.2">
      <c r="C229" s="7"/>
    </row>
    <row r="230" spans="2:41" x14ac:dyDescent="0.2">
      <c r="C230" s="7"/>
    </row>
    <row r="231" spans="2:41" x14ac:dyDescent="0.2">
      <c r="C231" s="7"/>
    </row>
    <row r="232" spans="2:41" x14ac:dyDescent="0.2">
      <c r="C232" s="7"/>
    </row>
    <row r="233" spans="2:41" x14ac:dyDescent="0.2">
      <c r="C233" s="7"/>
    </row>
    <row r="234" spans="2:41" x14ac:dyDescent="0.2">
      <c r="C234" s="7"/>
    </row>
    <row r="235" spans="2:41" x14ac:dyDescent="0.2">
      <c r="C235" s="7"/>
    </row>
    <row r="236" spans="2:41" x14ac:dyDescent="0.2">
      <c r="C236" s="7"/>
      <c r="D236" s="14"/>
    </row>
    <row r="237" spans="2:41" x14ac:dyDescent="0.2">
      <c r="C237" s="7"/>
      <c r="D237" s="14"/>
    </row>
    <row r="238" spans="2:41" s="7" customFormat="1" x14ac:dyDescent="0.2">
      <c r="B238" s="13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</row>
    <row r="239" spans="2:41" s="7" customFormat="1" x14ac:dyDescent="0.2">
      <c r="B239" s="13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</row>
    <row r="240" spans="2:41" s="7" customFormat="1" x14ac:dyDescent="0.2">
      <c r="B240" s="13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</row>
    <row r="241" spans="2:41" s="7" customFormat="1" x14ac:dyDescent="0.2">
      <c r="B241" s="13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</row>
    <row r="242" spans="2:41" s="7" customFormat="1" x14ac:dyDescent="0.2">
      <c r="B242" s="13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</row>
    <row r="243" spans="2:41" s="7" customFormat="1" x14ac:dyDescent="0.2">
      <c r="B243" s="13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</row>
    <row r="244" spans="2:41" s="7" customFormat="1" x14ac:dyDescent="0.2">
      <c r="B244" s="13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</row>
    <row r="245" spans="2:41" x14ac:dyDescent="0.2">
      <c r="C245" s="7"/>
      <c r="D245" s="14"/>
    </row>
    <row r="246" spans="2:41" x14ac:dyDescent="0.2">
      <c r="C246" s="7"/>
      <c r="D246" s="14"/>
    </row>
    <row r="247" spans="2:41" s="7" customFormat="1" x14ac:dyDescent="0.2">
      <c r="B247" s="13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</row>
    <row r="248" spans="2:41" s="7" customFormat="1" x14ac:dyDescent="0.2">
      <c r="B248" s="13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</row>
    <row r="249" spans="2:41" s="7" customFormat="1" x14ac:dyDescent="0.2">
      <c r="B249" s="13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</row>
    <row r="250" spans="2:41" s="7" customFormat="1" x14ac:dyDescent="0.2">
      <c r="B250" s="13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</row>
    <row r="251" spans="2:41" s="7" customFormat="1" x14ac:dyDescent="0.2">
      <c r="B251" s="13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</row>
    <row r="252" spans="2:41" s="7" customFormat="1" x14ac:dyDescent="0.2"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</row>
    <row r="253" spans="2:41" s="7" customFormat="1" x14ac:dyDescent="0.2"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</row>
    <row r="256" spans="2:41" s="7" customFormat="1" x14ac:dyDescent="0.2"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</row>
    <row r="257" spans="2:41" s="7" customFormat="1" x14ac:dyDescent="0.2"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</row>
    <row r="258" spans="2:41" s="7" customFormat="1" x14ac:dyDescent="0.2">
      <c r="B258" s="13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</row>
    <row r="259" spans="2:41" s="7" customFormat="1" x14ac:dyDescent="0.2"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</row>
    <row r="260" spans="2:41" s="7" customFormat="1" x14ac:dyDescent="0.2"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</row>
    <row r="261" spans="2:41" s="7" customFormat="1" x14ac:dyDescent="0.2"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</row>
    <row r="262" spans="2:41" s="7" customFormat="1" x14ac:dyDescent="0.2"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</row>
    <row r="263" spans="2:41" x14ac:dyDescent="0.2">
      <c r="D263" s="14"/>
    </row>
    <row r="265" spans="2:41" s="7" customFormat="1" x14ac:dyDescent="0.2">
      <c r="B265" s="13"/>
      <c r="C265" s="13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</row>
    <row r="266" spans="2:41" s="7" customFormat="1" x14ac:dyDescent="0.2">
      <c r="B266" s="13"/>
      <c r="C266" s="13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</row>
    <row r="267" spans="2:41" s="7" customFormat="1" x14ac:dyDescent="0.2">
      <c r="B267" s="13"/>
      <c r="C267" s="13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</row>
    <row r="268" spans="2:41" s="7" customFormat="1" x14ac:dyDescent="0.2">
      <c r="B268" s="13"/>
      <c r="C268" s="13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</row>
    <row r="269" spans="2:41" s="7" customFormat="1" x14ac:dyDescent="0.2">
      <c r="B269" s="13"/>
      <c r="C269" s="13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</row>
    <row r="270" spans="2:41" s="7" customFormat="1" x14ac:dyDescent="0.2">
      <c r="B270" s="13"/>
      <c r="C270" s="13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</row>
    <row r="271" spans="2:41" s="7" customFormat="1" x14ac:dyDescent="0.2">
      <c r="B271" s="13"/>
      <c r="C271" s="13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</row>
    <row r="274" spans="2:41" s="7" customFormat="1" x14ac:dyDescent="0.2">
      <c r="B274" s="13"/>
      <c r="C274" s="13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</row>
    <row r="275" spans="2:41" s="7" customFormat="1" x14ac:dyDescent="0.2">
      <c r="B275" s="13"/>
      <c r="C275" s="13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</row>
    <row r="276" spans="2:41" s="7" customFormat="1" x14ac:dyDescent="0.2">
      <c r="B276" s="13"/>
      <c r="C276" s="13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</row>
    <row r="277" spans="2:41" s="7" customFormat="1" x14ac:dyDescent="0.2">
      <c r="B277" s="13"/>
      <c r="C277" s="13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</row>
    <row r="278" spans="2:41" s="7" customFormat="1" x14ac:dyDescent="0.2">
      <c r="B278" s="13"/>
      <c r="C278" s="13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</row>
    <row r="281" spans="2:41" s="7" customFormat="1" x14ac:dyDescent="0.2">
      <c r="B281" s="13"/>
      <c r="C281" s="13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</row>
    <row r="282" spans="2:41" s="7" customFormat="1" x14ac:dyDescent="0.2">
      <c r="B282" s="13"/>
      <c r="C282" s="13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</row>
    <row r="283" spans="2:41" s="7" customFormat="1" x14ac:dyDescent="0.2">
      <c r="B283" s="13"/>
      <c r="C283" s="13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</row>
    <row r="284" spans="2:41" s="7" customFormat="1" x14ac:dyDescent="0.2">
      <c r="B284" s="13"/>
      <c r="C284" s="13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</row>
    <row r="285" spans="2:41" s="7" customFormat="1" x14ac:dyDescent="0.2">
      <c r="B285" s="13"/>
      <c r="C285" s="13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</row>
  </sheetData>
  <autoFilter ref="B1:T285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56">
    <mergeCell ref="B139:B143"/>
    <mergeCell ref="B87:C87"/>
    <mergeCell ref="B88:B92"/>
    <mergeCell ref="B10:B14"/>
    <mergeCell ref="B15:B19"/>
    <mergeCell ref="B20:B24"/>
    <mergeCell ref="B25:B28"/>
    <mergeCell ref="B51:B55"/>
    <mergeCell ref="B56:B59"/>
    <mergeCell ref="B30:C30"/>
    <mergeCell ref="B31:B35"/>
    <mergeCell ref="B36:B40"/>
    <mergeCell ref="B29:C29"/>
    <mergeCell ref="B60:C60"/>
    <mergeCell ref="B46:B50"/>
    <mergeCell ref="B41:B45"/>
    <mergeCell ref="S1:S2"/>
    <mergeCell ref="D1:Q1"/>
    <mergeCell ref="B1:B2"/>
    <mergeCell ref="C1:C2"/>
    <mergeCell ref="B3:C3"/>
    <mergeCell ref="B4:C4"/>
    <mergeCell ref="B5:B9"/>
    <mergeCell ref="B108:B111"/>
    <mergeCell ref="B98:B102"/>
    <mergeCell ref="B103:B107"/>
    <mergeCell ref="B138:C138"/>
    <mergeCell ref="B61:C61"/>
    <mergeCell ref="B62:B66"/>
    <mergeCell ref="B67:B71"/>
    <mergeCell ref="B72:B76"/>
    <mergeCell ref="B77:B81"/>
    <mergeCell ref="B82:B85"/>
    <mergeCell ref="B86:C86"/>
    <mergeCell ref="B93:B97"/>
    <mergeCell ref="B137:C137"/>
    <mergeCell ref="B112:C112"/>
    <mergeCell ref="B113:B117"/>
    <mergeCell ref="B118:B122"/>
    <mergeCell ref="B123:B127"/>
    <mergeCell ref="B128:B132"/>
    <mergeCell ref="B133:B136"/>
    <mergeCell ref="B185:B188"/>
    <mergeCell ref="B165:B169"/>
    <mergeCell ref="D191:Q191"/>
    <mergeCell ref="B144:B148"/>
    <mergeCell ref="B191:B192"/>
    <mergeCell ref="C191:C192"/>
    <mergeCell ref="B163:C163"/>
    <mergeCell ref="B164:C164"/>
    <mergeCell ref="B170:B174"/>
    <mergeCell ref="B175:B179"/>
    <mergeCell ref="B180:B184"/>
    <mergeCell ref="B159:B162"/>
    <mergeCell ref="B149:B153"/>
    <mergeCell ref="B154:B158"/>
  </mergeCells>
  <dataValidations count="3">
    <dataValidation type="list" allowBlank="1" showInputMessage="1" showErrorMessage="1" sqref="B4:C4 B30:C30 B61:C61 B87:C87 B138:C138 B164:C164 B112:C112">
      <formula1>РСО</formula1>
    </dataValidation>
    <dataValidation type="list" allowBlank="1" showInputMessage="1" showErrorMessage="1" sqref="S29:S56 S60:S82 S86:S108 S6:S25 S137:S159 S163:S184 S112:S133">
      <formula1>Группа</formula1>
    </dataValidation>
    <dataValidation type="list" allowBlank="1" showInputMessage="1" showErrorMessage="1" sqref="S186:S188 S83:S85 S160:S162 S57:S59 S26:S28 S109:S111 S134:S136">
      <formula1>Сроки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B121A75C-2F0B-4441-95FB-EFB34B9E6B6F}">
            <xm:f>NOT(ISERROR(SEARCH(#REF!,S140)))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S140</xm:sqref>
        </x14:conditionalFormatting>
        <x14:conditionalFormatting xmlns:xm="http://schemas.microsoft.com/office/excel/2006/main">
          <x14:cfRule type="containsText" priority="1" operator="containsText" id="{4103AB3A-59D2-471A-9EF5-E8CEFBF8793A}">
            <xm:f>NOT(ISERROR(SEARCH(#REF!,S141)))</xm:f>
            <xm:f>#REF!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S141:S143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2"/>
  <sheetViews>
    <sheetView tabSelected="1" zoomScale="85" zoomScaleNormal="85" workbookViewId="0">
      <pane ySplit="1" topLeftCell="A2" activePane="bottomLeft" state="frozen"/>
      <selection pane="bottomLeft" activeCell="S191" sqref="S191"/>
    </sheetView>
  </sheetViews>
  <sheetFormatPr defaultColWidth="22.1640625" defaultRowHeight="15" x14ac:dyDescent="0.25"/>
  <cols>
    <col min="1" max="1" width="68.5" style="48" customWidth="1"/>
    <col min="2" max="2" width="13" style="48" customWidth="1"/>
    <col min="3" max="3" width="12.33203125" style="48" hidden="1" customWidth="1"/>
    <col min="4" max="5" width="12.33203125" style="48" customWidth="1"/>
    <col min="6" max="6" width="13.33203125" style="48" customWidth="1"/>
    <col min="7" max="17" width="12.33203125" style="48" customWidth="1"/>
    <col min="18" max="16384" width="22.1640625" style="48"/>
  </cols>
  <sheetData>
    <row r="1" spans="1:17" x14ac:dyDescent="0.25">
      <c r="A1" s="309" t="s">
        <v>135</v>
      </c>
      <c r="B1" s="310" t="s">
        <v>86</v>
      </c>
      <c r="C1" s="311">
        <v>2021</v>
      </c>
      <c r="D1" s="311">
        <v>2022</v>
      </c>
      <c r="E1" s="311">
        <v>2023</v>
      </c>
      <c r="F1" s="311">
        <v>2024</v>
      </c>
      <c r="G1" s="311">
        <v>2025</v>
      </c>
      <c r="H1" s="311">
        <v>2026</v>
      </c>
      <c r="I1" s="311">
        <v>2027</v>
      </c>
      <c r="J1" s="311">
        <v>2028</v>
      </c>
      <c r="K1" s="311">
        <v>2029</v>
      </c>
      <c r="L1" s="311">
        <v>2030</v>
      </c>
      <c r="M1" s="311">
        <v>2031</v>
      </c>
      <c r="N1" s="311">
        <v>2032</v>
      </c>
      <c r="O1" s="311">
        <v>2033</v>
      </c>
      <c r="P1" s="311">
        <v>2034</v>
      </c>
      <c r="Q1" s="311">
        <v>2035</v>
      </c>
    </row>
    <row r="2" spans="1:17" ht="25.5" x14ac:dyDescent="0.25">
      <c r="A2" s="312" t="s">
        <v>230</v>
      </c>
      <c r="B2" s="313" t="s">
        <v>122</v>
      </c>
      <c r="C2" s="314" t="e">
        <f>C64/C6*100</f>
        <v>#VALUE!</v>
      </c>
      <c r="D2" s="314">
        <v>8.6</v>
      </c>
      <c r="E2" s="314">
        <v>8.6000000000000014</v>
      </c>
      <c r="F2" s="314">
        <v>8.6000000000000014</v>
      </c>
      <c r="G2" s="314">
        <v>8.6</v>
      </c>
      <c r="H2" s="314">
        <v>8.6000000000000014</v>
      </c>
      <c r="I2" s="314">
        <v>8.6000000000000014</v>
      </c>
      <c r="J2" s="314">
        <v>8.5999999999999979</v>
      </c>
      <c r="K2" s="314">
        <v>8.6</v>
      </c>
      <c r="L2" s="314">
        <v>8.6000000000000014</v>
      </c>
      <c r="M2" s="314">
        <v>8.5999999999999979</v>
      </c>
      <c r="N2" s="314">
        <v>8.6000000000000014</v>
      </c>
      <c r="O2" s="314">
        <v>8.6</v>
      </c>
      <c r="P2" s="314">
        <v>8.6000000000000014</v>
      </c>
      <c r="Q2" s="314">
        <v>8.6</v>
      </c>
    </row>
    <row r="3" spans="1:17" x14ac:dyDescent="0.25">
      <c r="A3" s="312" t="s">
        <v>232</v>
      </c>
      <c r="B3" s="313" t="s">
        <v>233</v>
      </c>
      <c r="C3" s="315" t="str">
        <f>[8]Доступность!C97</f>
        <v>тыс. руб.</v>
      </c>
      <c r="D3" s="315">
        <v>67.910873749142425</v>
      </c>
      <c r="E3" s="315">
        <v>73.217134743474276</v>
      </c>
      <c r="F3" s="315">
        <v>75.82243645699802</v>
      </c>
      <c r="G3" s="315">
        <v>80.323735830977341</v>
      </c>
      <c r="H3" s="315">
        <v>84.095383536328384</v>
      </c>
      <c r="I3" s="315">
        <v>86.905622445374206</v>
      </c>
      <c r="J3" s="315">
        <v>90.485482372701895</v>
      </c>
      <c r="K3" s="315">
        <v>94.010436878438597</v>
      </c>
      <c r="L3" s="315">
        <v>97.494973077373487</v>
      </c>
      <c r="M3" s="315">
        <v>101.4014479033568</v>
      </c>
      <c r="N3" s="315">
        <v>105.12884207024344</v>
      </c>
      <c r="O3" s="315">
        <v>109.04111873515731</v>
      </c>
      <c r="P3" s="315">
        <v>113.07904624741872</v>
      </c>
      <c r="Q3" s="315">
        <v>117.29652660645996</v>
      </c>
    </row>
    <row r="4" spans="1:17" x14ac:dyDescent="0.25">
      <c r="A4" s="312" t="s">
        <v>235</v>
      </c>
      <c r="B4" s="313" t="s">
        <v>233</v>
      </c>
      <c r="C4" s="315" t="str">
        <f>[8]Доступность!C98</f>
        <v>тыс. руб.</v>
      </c>
      <c r="D4" s="315">
        <v>27.164349499656971</v>
      </c>
      <c r="E4" s="315">
        <v>29.286853897389712</v>
      </c>
      <c r="F4" s="315">
        <v>30.328974582799205</v>
      </c>
      <c r="G4" s="315">
        <v>32.129494332390934</v>
      </c>
      <c r="H4" s="315">
        <v>33.638153414531352</v>
      </c>
      <c r="I4" s="315">
        <v>34.762248978149685</v>
      </c>
      <c r="J4" s="315">
        <v>36.194192949080758</v>
      </c>
      <c r="K4" s="315">
        <v>37.604174751375439</v>
      </c>
      <c r="L4" s="315">
        <v>38.997989230949393</v>
      </c>
      <c r="M4" s="315">
        <v>40.560579161342716</v>
      </c>
      <c r="N4" s="315">
        <v>42.051536828097376</v>
      </c>
      <c r="O4" s="315">
        <v>43.616447494062925</v>
      </c>
      <c r="P4" s="315">
        <v>45.231618498967485</v>
      </c>
      <c r="Q4" s="315">
        <v>46.918610642583985</v>
      </c>
    </row>
    <row r="5" spans="1:17" x14ac:dyDescent="0.25">
      <c r="A5" s="312" t="s">
        <v>236</v>
      </c>
      <c r="B5" s="313" t="s">
        <v>237</v>
      </c>
      <c r="C5" s="315" t="e">
        <f>[8]Доступность!C99/1000</f>
        <v>#VALUE!</v>
      </c>
      <c r="D5" s="315">
        <v>1.0954023935736674</v>
      </c>
      <c r="E5" s="315">
        <v>1.2150822813488016</v>
      </c>
      <c r="F5" s="315">
        <v>1.2936217528801344</v>
      </c>
      <c r="G5" s="315">
        <v>1.407850182656706</v>
      </c>
      <c r="H5" s="315">
        <v>1.5131114168924491</v>
      </c>
      <c r="I5" s="315">
        <v>1.6041387413456956</v>
      </c>
      <c r="J5" s="315">
        <v>1.7123472684210108</v>
      </c>
      <c r="K5" s="315">
        <v>1.8228623710729246</v>
      </c>
      <c r="L5" s="315">
        <v>1.935821187435097</v>
      </c>
      <c r="M5" s="315">
        <v>2.0605991031336939</v>
      </c>
      <c r="N5" s="315">
        <v>2.1853342658825645</v>
      </c>
      <c r="O5" s="315">
        <v>2.317429088254551</v>
      </c>
      <c r="P5" s="315">
        <v>2.4558959580199384</v>
      </c>
      <c r="Q5" s="315">
        <v>2.6021530648483502</v>
      </c>
    </row>
    <row r="6" spans="1:17" x14ac:dyDescent="0.25">
      <c r="A6" s="312" t="s">
        <v>238</v>
      </c>
      <c r="B6" s="313" t="s">
        <v>88</v>
      </c>
      <c r="C6" s="315" t="str">
        <f>[8]Доступность!C100</f>
        <v>тыс. чел.</v>
      </c>
      <c r="D6" s="315">
        <v>40.325000000000003</v>
      </c>
      <c r="E6" s="315">
        <v>41.488999999999997</v>
      </c>
      <c r="F6" s="315">
        <v>42.652999999999999</v>
      </c>
      <c r="G6" s="315">
        <v>43.817999999999998</v>
      </c>
      <c r="H6" s="315">
        <v>44.981999999999999</v>
      </c>
      <c r="I6" s="315">
        <v>46.146000000000001</v>
      </c>
      <c r="J6" s="315">
        <v>47.31</v>
      </c>
      <c r="K6" s="315">
        <v>48.475000000000001</v>
      </c>
      <c r="L6" s="315">
        <v>49.639000000000003</v>
      </c>
      <c r="M6" s="315">
        <v>50.802999999999997</v>
      </c>
      <c r="N6" s="315">
        <v>51.968000000000004</v>
      </c>
      <c r="O6" s="315">
        <v>53.131999999999998</v>
      </c>
      <c r="P6" s="315">
        <v>54.295999999999999</v>
      </c>
      <c r="Q6" s="315">
        <v>55.460999999999999</v>
      </c>
    </row>
    <row r="7" spans="1:17" x14ac:dyDescent="0.25">
      <c r="A7" s="312" t="s">
        <v>240</v>
      </c>
      <c r="B7" s="313" t="s">
        <v>241</v>
      </c>
      <c r="C7" s="314">
        <v>2.2999999999999998</v>
      </c>
      <c r="D7" s="314">
        <v>2.2999999999999998</v>
      </c>
      <c r="E7" s="314">
        <v>2.2999999999999998</v>
      </c>
      <c r="F7" s="314">
        <v>2.2999999999999998</v>
      </c>
      <c r="G7" s="314">
        <v>2.2999999999999998</v>
      </c>
      <c r="H7" s="314">
        <v>2.2999999999999998</v>
      </c>
      <c r="I7" s="314">
        <v>2.2999999999999998</v>
      </c>
      <c r="J7" s="314">
        <v>2.2999999999999998</v>
      </c>
      <c r="K7" s="314">
        <v>2.2999999999999998</v>
      </c>
      <c r="L7" s="314">
        <v>2.2999999999999998</v>
      </c>
      <c r="M7" s="314">
        <v>2.2999999999999998</v>
      </c>
      <c r="N7" s="314">
        <v>2.2999999999999998</v>
      </c>
      <c r="O7" s="314">
        <v>2.2999999999999998</v>
      </c>
      <c r="P7" s="314">
        <v>2.2999999999999998</v>
      </c>
      <c r="Q7" s="314">
        <v>2.2999999999999998</v>
      </c>
    </row>
    <row r="8" spans="1:17" x14ac:dyDescent="0.25">
      <c r="A8" s="312" t="s">
        <v>242</v>
      </c>
      <c r="B8" s="313" t="s">
        <v>233</v>
      </c>
      <c r="C8" s="316" t="e">
        <f t="shared" ref="C8" si="0">C7*C4</f>
        <v>#VALUE!</v>
      </c>
      <c r="D8" s="316">
        <v>62.478003849211028</v>
      </c>
      <c r="E8" s="316">
        <v>67.359763963996329</v>
      </c>
      <c r="F8" s="316">
        <v>69.756641540438167</v>
      </c>
      <c r="G8" s="316">
        <v>73.897836964499135</v>
      </c>
      <c r="H8" s="316">
        <v>77.367752853422104</v>
      </c>
      <c r="I8" s="316">
        <v>79.953172649744275</v>
      </c>
      <c r="J8" s="316">
        <v>83.246643782885741</v>
      </c>
      <c r="K8" s="316">
        <v>86.489601928163509</v>
      </c>
      <c r="L8" s="316">
        <v>89.695375231183604</v>
      </c>
      <c r="M8" s="316">
        <v>93.289332071088239</v>
      </c>
      <c r="N8" s="316">
        <v>96.718534704623963</v>
      </c>
      <c r="O8" s="316">
        <v>100.31782923634472</v>
      </c>
      <c r="P8" s="316">
        <v>104.03272254762521</v>
      </c>
      <c r="Q8" s="316">
        <v>107.91280447794315</v>
      </c>
    </row>
    <row r="9" spans="1:17" x14ac:dyDescent="0.25">
      <c r="A9" s="312" t="s">
        <v>243</v>
      </c>
      <c r="B9" s="313" t="s">
        <v>233</v>
      </c>
      <c r="C9" s="315">
        <f>C103/1000</f>
        <v>16.280999999999999</v>
      </c>
      <c r="D9" s="315">
        <v>18.625</v>
      </c>
      <c r="E9" s="315">
        <v>19.649000000000001</v>
      </c>
      <c r="F9" s="315">
        <v>20.615730799999998</v>
      </c>
      <c r="G9" s="315">
        <v>21.441184661232001</v>
      </c>
      <c r="H9" s="315">
        <v>22.305264403079651</v>
      </c>
      <c r="I9" s="315">
        <v>23.191898663102066</v>
      </c>
      <c r="J9" s="315">
        <v>24.110993607120797</v>
      </c>
      <c r="K9" s="315">
        <v>25.064583404282423</v>
      </c>
      <c r="L9" s="315">
        <v>26.054885094585622</v>
      </c>
      <c r="M9" s="315">
        <v>27.085355800076481</v>
      </c>
      <c r="N9" s="315">
        <v>28.15901930399151</v>
      </c>
      <c r="O9" s="315">
        <v>29.276932370359976</v>
      </c>
      <c r="P9" s="315">
        <v>30.442739817347711</v>
      </c>
      <c r="Q9" s="315">
        <v>31.658318418254407</v>
      </c>
    </row>
    <row r="10" spans="1:17" x14ac:dyDescent="0.25">
      <c r="A10" s="312" t="s">
        <v>244</v>
      </c>
      <c r="B10" s="313" t="s">
        <v>122</v>
      </c>
      <c r="C10" s="314">
        <f>SUM(C11:C18)</f>
        <v>100</v>
      </c>
      <c r="D10" s="314">
        <v>100</v>
      </c>
      <c r="E10" s="314">
        <v>100</v>
      </c>
      <c r="F10" s="314">
        <v>100</v>
      </c>
      <c r="G10" s="314">
        <v>100</v>
      </c>
      <c r="H10" s="314">
        <v>100</v>
      </c>
      <c r="I10" s="314">
        <v>100</v>
      </c>
      <c r="J10" s="314">
        <v>100</v>
      </c>
      <c r="K10" s="314">
        <v>100</v>
      </c>
      <c r="L10" s="314">
        <v>100</v>
      </c>
      <c r="M10" s="314">
        <v>100</v>
      </c>
      <c r="N10" s="314">
        <v>100</v>
      </c>
      <c r="O10" s="314">
        <v>100</v>
      </c>
      <c r="P10" s="314">
        <v>100</v>
      </c>
      <c r="Q10" s="314">
        <v>100</v>
      </c>
    </row>
    <row r="11" spans="1:17" x14ac:dyDescent="0.25">
      <c r="A11" s="313">
        <v>1</v>
      </c>
      <c r="B11" s="313" t="s">
        <v>122</v>
      </c>
      <c r="C11" s="317">
        <v>0.5</v>
      </c>
      <c r="D11" s="317">
        <v>0.3</v>
      </c>
      <c r="E11" s="317">
        <v>0.3</v>
      </c>
      <c r="F11" s="317">
        <v>0.3</v>
      </c>
      <c r="G11" s="317">
        <v>0.3</v>
      </c>
      <c r="H11" s="317">
        <v>0.3</v>
      </c>
      <c r="I11" s="317">
        <v>0.3</v>
      </c>
      <c r="J11" s="317">
        <v>0.3</v>
      </c>
      <c r="K11" s="317">
        <v>0.3</v>
      </c>
      <c r="L11" s="317">
        <v>0.3</v>
      </c>
      <c r="M11" s="317">
        <v>0.3</v>
      </c>
      <c r="N11" s="317">
        <v>0.3</v>
      </c>
      <c r="O11" s="317">
        <v>0.3</v>
      </c>
      <c r="P11" s="317">
        <v>0.3</v>
      </c>
      <c r="Q11" s="317">
        <v>0.3</v>
      </c>
    </row>
    <row r="12" spans="1:17" x14ac:dyDescent="0.25">
      <c r="A12" s="313">
        <v>2</v>
      </c>
      <c r="B12" s="313" t="s">
        <v>122</v>
      </c>
      <c r="C12" s="317">
        <v>1.3</v>
      </c>
      <c r="D12" s="317">
        <v>0.9</v>
      </c>
      <c r="E12" s="317">
        <v>0.9</v>
      </c>
      <c r="F12" s="317">
        <v>0.9</v>
      </c>
      <c r="G12" s="317">
        <v>0.9</v>
      </c>
      <c r="H12" s="317">
        <v>0.9</v>
      </c>
      <c r="I12" s="317">
        <v>0.9</v>
      </c>
      <c r="J12" s="317">
        <v>0.9</v>
      </c>
      <c r="K12" s="317">
        <v>0.9</v>
      </c>
      <c r="L12" s="317">
        <v>0.9</v>
      </c>
      <c r="M12" s="317">
        <v>0.9</v>
      </c>
      <c r="N12" s="317">
        <v>0.9</v>
      </c>
      <c r="O12" s="317">
        <v>0.9</v>
      </c>
      <c r="P12" s="317">
        <v>0.9</v>
      </c>
      <c r="Q12" s="317">
        <v>0.9</v>
      </c>
    </row>
    <row r="13" spans="1:17" x14ac:dyDescent="0.25">
      <c r="A13" s="313">
        <v>3</v>
      </c>
      <c r="B13" s="313" t="s">
        <v>122</v>
      </c>
      <c r="C13" s="317">
        <v>3.5</v>
      </c>
      <c r="D13" s="317">
        <v>2.4</v>
      </c>
      <c r="E13" s="317">
        <v>2.4</v>
      </c>
      <c r="F13" s="317">
        <v>2.4</v>
      </c>
      <c r="G13" s="317">
        <v>2.4</v>
      </c>
      <c r="H13" s="317">
        <v>2.4</v>
      </c>
      <c r="I13" s="317">
        <v>2.4</v>
      </c>
      <c r="J13" s="317">
        <v>2.4</v>
      </c>
      <c r="K13" s="317">
        <v>2.4</v>
      </c>
      <c r="L13" s="317">
        <v>2.4</v>
      </c>
      <c r="M13" s="317">
        <v>2.4</v>
      </c>
      <c r="N13" s="317">
        <v>2.4</v>
      </c>
      <c r="O13" s="317">
        <v>2.4</v>
      </c>
      <c r="P13" s="317">
        <v>2.4</v>
      </c>
      <c r="Q13" s="317">
        <v>2.4</v>
      </c>
    </row>
    <row r="14" spans="1:17" x14ac:dyDescent="0.25">
      <c r="A14" s="313">
        <v>4</v>
      </c>
      <c r="B14" s="313" t="s">
        <v>122</v>
      </c>
      <c r="C14" s="317">
        <v>6.4</v>
      </c>
      <c r="D14" s="317">
        <v>5</v>
      </c>
      <c r="E14" s="317">
        <v>5</v>
      </c>
      <c r="F14" s="317">
        <v>5</v>
      </c>
      <c r="G14" s="317">
        <v>5</v>
      </c>
      <c r="H14" s="317">
        <v>5</v>
      </c>
      <c r="I14" s="317">
        <v>5</v>
      </c>
      <c r="J14" s="317">
        <v>5</v>
      </c>
      <c r="K14" s="317">
        <v>5</v>
      </c>
      <c r="L14" s="317">
        <v>5</v>
      </c>
      <c r="M14" s="317">
        <v>5</v>
      </c>
      <c r="N14" s="317">
        <v>5</v>
      </c>
      <c r="O14" s="317">
        <v>5</v>
      </c>
      <c r="P14" s="317">
        <v>5</v>
      </c>
      <c r="Q14" s="317">
        <v>5</v>
      </c>
    </row>
    <row r="15" spans="1:17" x14ac:dyDescent="0.25">
      <c r="A15" s="313">
        <v>5</v>
      </c>
      <c r="B15" s="313" t="s">
        <v>122</v>
      </c>
      <c r="C15" s="317">
        <v>12.6</v>
      </c>
      <c r="D15" s="317">
        <v>10.8</v>
      </c>
      <c r="E15" s="317">
        <v>10.8</v>
      </c>
      <c r="F15" s="317">
        <v>10.8</v>
      </c>
      <c r="G15" s="317">
        <v>10.8</v>
      </c>
      <c r="H15" s="317">
        <v>10.8</v>
      </c>
      <c r="I15" s="317">
        <v>10.8</v>
      </c>
      <c r="J15" s="317">
        <v>10.8</v>
      </c>
      <c r="K15" s="317">
        <v>10.8</v>
      </c>
      <c r="L15" s="317">
        <v>10.8</v>
      </c>
      <c r="M15" s="317">
        <v>10.8</v>
      </c>
      <c r="N15" s="317">
        <v>10.8</v>
      </c>
      <c r="O15" s="317">
        <v>10.8</v>
      </c>
      <c r="P15" s="317">
        <v>10.8</v>
      </c>
      <c r="Q15" s="317">
        <v>10.8</v>
      </c>
    </row>
    <row r="16" spans="1:17" x14ac:dyDescent="0.25">
      <c r="A16" s="313">
        <v>6</v>
      </c>
      <c r="B16" s="313" t="s">
        <v>122</v>
      </c>
      <c r="C16" s="317">
        <v>26.6</v>
      </c>
      <c r="D16" s="317">
        <v>25.3</v>
      </c>
      <c r="E16" s="317">
        <v>25.3</v>
      </c>
      <c r="F16" s="317">
        <v>25.3</v>
      </c>
      <c r="G16" s="317">
        <v>25.3</v>
      </c>
      <c r="H16" s="317">
        <v>25.3</v>
      </c>
      <c r="I16" s="317">
        <v>25.3</v>
      </c>
      <c r="J16" s="317">
        <v>25.3</v>
      </c>
      <c r="K16" s="317">
        <v>25.3</v>
      </c>
      <c r="L16" s="317">
        <v>25.3</v>
      </c>
      <c r="M16" s="317">
        <v>25.3</v>
      </c>
      <c r="N16" s="317">
        <v>25.3</v>
      </c>
      <c r="O16" s="317">
        <v>25.3</v>
      </c>
      <c r="P16" s="317">
        <v>25.3</v>
      </c>
      <c r="Q16" s="317">
        <v>25.3</v>
      </c>
    </row>
    <row r="17" spans="1:17" x14ac:dyDescent="0.25">
      <c r="A17" s="313">
        <v>7</v>
      </c>
      <c r="B17" s="313" t="s">
        <v>122</v>
      </c>
      <c r="C17" s="317">
        <v>15.6</v>
      </c>
      <c r="D17" s="317">
        <v>16.2</v>
      </c>
      <c r="E17" s="317">
        <v>16.2</v>
      </c>
      <c r="F17" s="317">
        <v>16.2</v>
      </c>
      <c r="G17" s="317">
        <v>16.2</v>
      </c>
      <c r="H17" s="317">
        <v>16.2</v>
      </c>
      <c r="I17" s="317">
        <v>16.2</v>
      </c>
      <c r="J17" s="317">
        <v>16.2</v>
      </c>
      <c r="K17" s="317">
        <v>16.2</v>
      </c>
      <c r="L17" s="317">
        <v>16.2</v>
      </c>
      <c r="M17" s="317">
        <v>16.2</v>
      </c>
      <c r="N17" s="317">
        <v>16.2</v>
      </c>
      <c r="O17" s="317">
        <v>16.2</v>
      </c>
      <c r="P17" s="317">
        <v>16.2</v>
      </c>
      <c r="Q17" s="317">
        <v>16.2</v>
      </c>
    </row>
    <row r="18" spans="1:17" x14ac:dyDescent="0.25">
      <c r="A18" s="313">
        <v>8</v>
      </c>
      <c r="B18" s="313" t="s">
        <v>122</v>
      </c>
      <c r="C18" s="317">
        <v>33.5</v>
      </c>
      <c r="D18" s="317">
        <v>39.1</v>
      </c>
      <c r="E18" s="317">
        <v>39.1</v>
      </c>
      <c r="F18" s="317">
        <v>39.1</v>
      </c>
      <c r="G18" s="317">
        <v>39.1</v>
      </c>
      <c r="H18" s="317">
        <v>39.1</v>
      </c>
      <c r="I18" s="317">
        <v>39.1</v>
      </c>
      <c r="J18" s="317">
        <v>39.1</v>
      </c>
      <c r="K18" s="317">
        <v>39.1</v>
      </c>
      <c r="L18" s="317">
        <v>39.1</v>
      </c>
      <c r="M18" s="317">
        <v>39.1</v>
      </c>
      <c r="N18" s="317">
        <v>39.1</v>
      </c>
      <c r="O18" s="317">
        <v>39.1</v>
      </c>
      <c r="P18" s="317">
        <v>39.1</v>
      </c>
      <c r="Q18" s="317">
        <v>39.1</v>
      </c>
    </row>
    <row r="19" spans="1:17" x14ac:dyDescent="0.25">
      <c r="A19" s="318" t="s">
        <v>1067</v>
      </c>
      <c r="B19" s="313" t="s">
        <v>88</v>
      </c>
      <c r="C19" s="315" t="e">
        <f t="shared" ref="C19" si="1">SUM(C20:C27)</f>
        <v>#VALUE!</v>
      </c>
      <c r="D19" s="315">
        <v>40.325000000000003</v>
      </c>
      <c r="E19" s="315">
        <v>41.489000000000004</v>
      </c>
      <c r="F19" s="315">
        <v>42.653000000000006</v>
      </c>
      <c r="G19" s="315">
        <v>43.817999999999998</v>
      </c>
      <c r="H19" s="315">
        <v>44.981999999999999</v>
      </c>
      <c r="I19" s="315">
        <v>46.146000000000001</v>
      </c>
      <c r="J19" s="315">
        <v>47.31</v>
      </c>
      <c r="K19" s="315">
        <v>48.475000000000009</v>
      </c>
      <c r="L19" s="315">
        <v>49.63900000000001</v>
      </c>
      <c r="M19" s="315">
        <v>50.802999999999997</v>
      </c>
      <c r="N19" s="315">
        <v>51.968000000000004</v>
      </c>
      <c r="O19" s="315">
        <v>53.132000000000005</v>
      </c>
      <c r="P19" s="315">
        <v>54.296000000000006</v>
      </c>
      <c r="Q19" s="315">
        <v>55.460999999999999</v>
      </c>
    </row>
    <row r="20" spans="1:17" x14ac:dyDescent="0.25">
      <c r="A20" s="313">
        <v>1</v>
      </c>
      <c r="B20" s="313" t="s">
        <v>88</v>
      </c>
      <c r="C20" s="319" t="e">
        <f>C11*C$6/100</f>
        <v>#VALUE!</v>
      </c>
      <c r="D20" s="319">
        <v>0.120975</v>
      </c>
      <c r="E20" s="319">
        <v>0.12446699999999998</v>
      </c>
      <c r="F20" s="319">
        <v>0.12795899999999999</v>
      </c>
      <c r="G20" s="319">
        <v>0.13145399999999999</v>
      </c>
      <c r="H20" s="319">
        <v>0.13494600000000001</v>
      </c>
      <c r="I20" s="319">
        <v>0.13843800000000001</v>
      </c>
      <c r="J20" s="319">
        <v>0.14193</v>
      </c>
      <c r="K20" s="319">
        <v>0.145425</v>
      </c>
      <c r="L20" s="319">
        <v>0.14891699999999999</v>
      </c>
      <c r="M20" s="319">
        <v>0.15240899999999999</v>
      </c>
      <c r="N20" s="319">
        <v>0.15590400000000001</v>
      </c>
      <c r="O20" s="319">
        <v>0.15939599999999998</v>
      </c>
      <c r="P20" s="319">
        <v>0.16288799999999998</v>
      </c>
      <c r="Q20" s="319">
        <v>0.16638299999999998</v>
      </c>
    </row>
    <row r="21" spans="1:17" x14ac:dyDescent="0.25">
      <c r="A21" s="313">
        <v>2</v>
      </c>
      <c r="B21" s="313" t="s">
        <v>88</v>
      </c>
      <c r="C21" s="319" t="e">
        <f t="shared" ref="C21:C27" si="2">C12*C$6/100</f>
        <v>#VALUE!</v>
      </c>
      <c r="D21" s="319">
        <v>0.36292500000000005</v>
      </c>
      <c r="E21" s="319">
        <v>0.37340099999999998</v>
      </c>
      <c r="F21" s="319">
        <v>0.38387700000000002</v>
      </c>
      <c r="G21" s="319">
        <v>0.39436199999999999</v>
      </c>
      <c r="H21" s="319">
        <v>0.40483800000000003</v>
      </c>
      <c r="I21" s="319">
        <v>0.41531400000000007</v>
      </c>
      <c r="J21" s="319">
        <v>0.42579</v>
      </c>
      <c r="K21" s="319">
        <v>0.43627500000000002</v>
      </c>
      <c r="L21" s="319">
        <v>0.44675100000000001</v>
      </c>
      <c r="M21" s="319">
        <v>0.45722699999999994</v>
      </c>
      <c r="N21" s="319">
        <v>0.46771200000000007</v>
      </c>
      <c r="O21" s="319">
        <v>0.47818799999999995</v>
      </c>
      <c r="P21" s="319">
        <v>0.48866399999999999</v>
      </c>
      <c r="Q21" s="319">
        <v>0.49914900000000001</v>
      </c>
    </row>
    <row r="22" spans="1:17" x14ac:dyDescent="0.25">
      <c r="A22" s="313">
        <v>3</v>
      </c>
      <c r="B22" s="313" t="s">
        <v>88</v>
      </c>
      <c r="C22" s="319" t="e">
        <f t="shared" si="2"/>
        <v>#VALUE!</v>
      </c>
      <c r="D22" s="319">
        <v>0.96779999999999999</v>
      </c>
      <c r="E22" s="319">
        <v>0.99573599999999984</v>
      </c>
      <c r="F22" s="319">
        <v>1.0236719999999999</v>
      </c>
      <c r="G22" s="319">
        <v>1.0516319999999999</v>
      </c>
      <c r="H22" s="319">
        <v>1.0795680000000001</v>
      </c>
      <c r="I22" s="319">
        <v>1.107504</v>
      </c>
      <c r="J22" s="319">
        <v>1.13544</v>
      </c>
      <c r="K22" s="319">
        <v>1.1634</v>
      </c>
      <c r="L22" s="319">
        <v>1.191336</v>
      </c>
      <c r="M22" s="319">
        <v>1.2192719999999999</v>
      </c>
      <c r="N22" s="319">
        <v>1.2472320000000001</v>
      </c>
      <c r="O22" s="319">
        <v>1.2751679999999999</v>
      </c>
      <c r="P22" s="319">
        <v>1.3031039999999998</v>
      </c>
      <c r="Q22" s="319">
        <v>1.3310639999999998</v>
      </c>
    </row>
    <row r="23" spans="1:17" x14ac:dyDescent="0.25">
      <c r="A23" s="313">
        <v>4</v>
      </c>
      <c r="B23" s="313" t="s">
        <v>88</v>
      </c>
      <c r="C23" s="319" t="e">
        <f t="shared" si="2"/>
        <v>#VALUE!</v>
      </c>
      <c r="D23" s="319">
        <v>2.0162499999999999</v>
      </c>
      <c r="E23" s="319">
        <v>2.0744500000000001</v>
      </c>
      <c r="F23" s="319">
        <v>2.1326499999999999</v>
      </c>
      <c r="G23" s="319">
        <v>2.1908999999999996</v>
      </c>
      <c r="H23" s="319">
        <v>2.2490999999999999</v>
      </c>
      <c r="I23" s="319">
        <v>2.3073000000000001</v>
      </c>
      <c r="J23" s="319">
        <v>2.3654999999999999</v>
      </c>
      <c r="K23" s="319">
        <v>2.4237500000000001</v>
      </c>
      <c r="L23" s="319">
        <v>2.4819500000000003</v>
      </c>
      <c r="M23" s="319">
        <v>2.5401499999999997</v>
      </c>
      <c r="N23" s="319">
        <v>2.5984000000000003</v>
      </c>
      <c r="O23" s="319">
        <v>2.6565999999999996</v>
      </c>
      <c r="P23" s="319">
        <v>2.7148000000000003</v>
      </c>
      <c r="Q23" s="319">
        <v>2.77305</v>
      </c>
    </row>
    <row r="24" spans="1:17" x14ac:dyDescent="0.25">
      <c r="A24" s="313">
        <v>5</v>
      </c>
      <c r="B24" s="313" t="s">
        <v>88</v>
      </c>
      <c r="C24" s="319" t="e">
        <f t="shared" si="2"/>
        <v>#VALUE!</v>
      </c>
      <c r="D24" s="319">
        <v>4.3551000000000002</v>
      </c>
      <c r="E24" s="319">
        <v>4.4808120000000002</v>
      </c>
      <c r="F24" s="319">
        <v>4.6065240000000003</v>
      </c>
      <c r="G24" s="319">
        <v>4.7323440000000003</v>
      </c>
      <c r="H24" s="319">
        <v>4.8580560000000004</v>
      </c>
      <c r="I24" s="319">
        <v>4.9837680000000004</v>
      </c>
      <c r="J24" s="319">
        <v>5.1094800000000005</v>
      </c>
      <c r="K24" s="319">
        <v>5.2353000000000005</v>
      </c>
      <c r="L24" s="319">
        <v>5.3610120000000006</v>
      </c>
      <c r="M24" s="319">
        <v>5.4867240000000006</v>
      </c>
      <c r="N24" s="319">
        <v>5.6125440000000006</v>
      </c>
      <c r="O24" s="319">
        <v>5.7382559999999998</v>
      </c>
      <c r="P24" s="319">
        <v>5.8639679999999998</v>
      </c>
      <c r="Q24" s="319">
        <v>5.9897879999999999</v>
      </c>
    </row>
    <row r="25" spans="1:17" x14ac:dyDescent="0.25">
      <c r="A25" s="313">
        <v>6</v>
      </c>
      <c r="B25" s="313" t="s">
        <v>88</v>
      </c>
      <c r="C25" s="319" t="e">
        <f t="shared" si="2"/>
        <v>#VALUE!</v>
      </c>
      <c r="D25" s="319">
        <v>10.202225</v>
      </c>
      <c r="E25" s="319">
        <v>10.496716999999999</v>
      </c>
      <c r="F25" s="319">
        <v>10.791208999999998</v>
      </c>
      <c r="G25" s="319">
        <v>11.085953999999999</v>
      </c>
      <c r="H25" s="319">
        <v>11.380445999999999</v>
      </c>
      <c r="I25" s="319">
        <v>11.674937999999999</v>
      </c>
      <c r="J25" s="319">
        <v>11.969429999999999</v>
      </c>
      <c r="K25" s="319">
        <v>12.264175</v>
      </c>
      <c r="L25" s="319">
        <v>12.558667</v>
      </c>
      <c r="M25" s="319">
        <v>12.853159</v>
      </c>
      <c r="N25" s="319">
        <v>13.147904</v>
      </c>
      <c r="O25" s="319">
        <v>13.442395999999999</v>
      </c>
      <c r="P25" s="319">
        <v>13.736888</v>
      </c>
      <c r="Q25" s="319">
        <v>14.031632999999999</v>
      </c>
    </row>
    <row r="26" spans="1:17" x14ac:dyDescent="0.25">
      <c r="A26" s="313">
        <v>7</v>
      </c>
      <c r="B26" s="313" t="s">
        <v>88</v>
      </c>
      <c r="C26" s="319" t="e">
        <f t="shared" si="2"/>
        <v>#VALUE!</v>
      </c>
      <c r="D26" s="319">
        <v>6.5326500000000003</v>
      </c>
      <c r="E26" s="319">
        <v>6.7212179999999986</v>
      </c>
      <c r="F26" s="319">
        <v>6.9097859999999995</v>
      </c>
      <c r="G26" s="319">
        <v>7.098516</v>
      </c>
      <c r="H26" s="319">
        <v>7.2870840000000001</v>
      </c>
      <c r="I26" s="319">
        <v>7.4756520000000002</v>
      </c>
      <c r="J26" s="319">
        <v>7.6642200000000003</v>
      </c>
      <c r="K26" s="319">
        <v>7.8529499999999999</v>
      </c>
      <c r="L26" s="319">
        <v>8.0415179999999999</v>
      </c>
      <c r="M26" s="319">
        <v>8.2300859999999982</v>
      </c>
      <c r="N26" s="319">
        <v>8.4188159999999996</v>
      </c>
      <c r="O26" s="319">
        <v>8.6073839999999997</v>
      </c>
      <c r="P26" s="319">
        <v>8.7959519999999998</v>
      </c>
      <c r="Q26" s="319">
        <v>8.9846819999999994</v>
      </c>
    </row>
    <row r="27" spans="1:17" x14ac:dyDescent="0.25">
      <c r="A27" s="313">
        <v>8</v>
      </c>
      <c r="B27" s="313" t="s">
        <v>88</v>
      </c>
      <c r="C27" s="319" t="e">
        <f t="shared" si="2"/>
        <v>#VALUE!</v>
      </c>
      <c r="D27" s="319">
        <v>15.767075000000002</v>
      </c>
      <c r="E27" s="319">
        <v>16.222199</v>
      </c>
      <c r="F27" s="319">
        <v>16.677323000000001</v>
      </c>
      <c r="G27" s="319">
        <v>17.132838</v>
      </c>
      <c r="H27" s="319">
        <v>17.587962000000001</v>
      </c>
      <c r="I27" s="319">
        <v>18.043086000000002</v>
      </c>
      <c r="J27" s="319">
        <v>18.49821</v>
      </c>
      <c r="K27" s="319">
        <v>18.953725000000002</v>
      </c>
      <c r="L27" s="319">
        <v>19.408849000000004</v>
      </c>
      <c r="M27" s="319">
        <v>19.863972999999998</v>
      </c>
      <c r="N27" s="319">
        <v>20.319488</v>
      </c>
      <c r="O27" s="319">
        <v>20.774612000000001</v>
      </c>
      <c r="P27" s="319">
        <v>21.229736000000003</v>
      </c>
      <c r="Q27" s="319">
        <v>21.685250999999997</v>
      </c>
    </row>
    <row r="28" spans="1:17" x14ac:dyDescent="0.25">
      <c r="A28" s="312" t="s">
        <v>246</v>
      </c>
      <c r="B28" s="313" t="s">
        <v>233</v>
      </c>
      <c r="C28" s="315" t="e">
        <f>SUMPRODUCT(C29:C36,C20:C27)*12/1000/C19/12*1000</f>
        <v>#VALUE!</v>
      </c>
      <c r="D28" s="315">
        <v>62.796000000000006</v>
      </c>
      <c r="E28" s="315">
        <v>65.307839999999999</v>
      </c>
      <c r="F28" s="315">
        <v>66.94053599999998</v>
      </c>
      <c r="G28" s="315">
        <v>68.614049399999971</v>
      </c>
      <c r="H28" s="315">
        <v>70.329400634999971</v>
      </c>
      <c r="I28" s="315">
        <v>71.94697684960498</v>
      </c>
      <c r="J28" s="315">
        <v>73.601757317145882</v>
      </c>
      <c r="K28" s="315">
        <v>75.29459773544022</v>
      </c>
      <c r="L28" s="315">
        <v>77.026373483355329</v>
      </c>
      <c r="M28" s="315">
        <v>78.643927326505818</v>
      </c>
      <c r="N28" s="315">
        <v>80.295449800362405</v>
      </c>
      <c r="O28" s="315">
        <v>81.981654246170024</v>
      </c>
      <c r="P28" s="315">
        <v>83.703268985339591</v>
      </c>
      <c r="Q28" s="315">
        <v>85.461037634031698</v>
      </c>
    </row>
    <row r="29" spans="1:17" x14ac:dyDescent="0.25">
      <c r="A29" s="313">
        <v>1</v>
      </c>
      <c r="B29" s="313" t="s">
        <v>233</v>
      </c>
      <c r="C29" s="319">
        <v>6.3024541233694444</v>
      </c>
      <c r="D29" s="319">
        <v>6.4661483807856657</v>
      </c>
      <c r="E29" s="319">
        <v>6.7247943160170927</v>
      </c>
      <c r="F29" s="319">
        <v>6.8929141739175197</v>
      </c>
      <c r="G29" s="319">
        <v>7.0652370282654573</v>
      </c>
      <c r="H29" s="319">
        <v>7.2418679539720934</v>
      </c>
      <c r="I29" s="319">
        <v>7.408430916913451</v>
      </c>
      <c r="J29" s="319">
        <v>7.5788248280024595</v>
      </c>
      <c r="K29" s="319">
        <v>7.7531377990465158</v>
      </c>
      <c r="L29" s="319">
        <v>7.9314599684245852</v>
      </c>
      <c r="M29" s="319">
        <v>8.0980206277615014</v>
      </c>
      <c r="N29" s="319">
        <v>8.2680790609444923</v>
      </c>
      <c r="O29" s="319">
        <v>8.4417087212243267</v>
      </c>
      <c r="P29" s="319">
        <v>8.618984604370036</v>
      </c>
      <c r="Q29" s="319">
        <v>8.7999832810618059</v>
      </c>
    </row>
    <row r="30" spans="1:17" x14ac:dyDescent="0.25">
      <c r="A30" s="313">
        <v>2</v>
      </c>
      <c r="B30" s="313" t="s">
        <v>233</v>
      </c>
      <c r="C30" s="319">
        <v>9.4536811850541671</v>
      </c>
      <c r="D30" s="319">
        <v>9.699222571178499</v>
      </c>
      <c r="E30" s="319">
        <v>10.087191474025639</v>
      </c>
      <c r="F30" s="319">
        <v>10.339371260876279</v>
      </c>
      <c r="G30" s="319">
        <v>10.597855542398184</v>
      </c>
      <c r="H30" s="319">
        <v>10.862801930958138</v>
      </c>
      <c r="I30" s="319">
        <v>11.112646375370174</v>
      </c>
      <c r="J30" s="319">
        <v>11.368237242003687</v>
      </c>
      <c r="K30" s="319">
        <v>11.629706698569771</v>
      </c>
      <c r="L30" s="319">
        <v>11.897189952636875</v>
      </c>
      <c r="M30" s="319">
        <v>12.147030941642248</v>
      </c>
      <c r="N30" s="319">
        <v>12.402118591416734</v>
      </c>
      <c r="O30" s="319">
        <v>12.662563081836485</v>
      </c>
      <c r="P30" s="319">
        <v>12.92847690655505</v>
      </c>
      <c r="Q30" s="319">
        <v>13.199974921592704</v>
      </c>
    </row>
    <row r="31" spans="1:17" x14ac:dyDescent="0.25">
      <c r="A31" s="313">
        <v>3</v>
      </c>
      <c r="B31" s="313" t="s">
        <v>233</v>
      </c>
      <c r="C31" s="319">
        <v>12.604908246738889</v>
      </c>
      <c r="D31" s="319">
        <v>12.932296761571331</v>
      </c>
      <c r="E31" s="319">
        <v>13.449588632034185</v>
      </c>
      <c r="F31" s="319">
        <v>13.785828347835039</v>
      </c>
      <c r="G31" s="319">
        <v>14.130474056530915</v>
      </c>
      <c r="H31" s="319">
        <v>14.483735907944187</v>
      </c>
      <c r="I31" s="319">
        <v>14.816861833826902</v>
      </c>
      <c r="J31" s="319">
        <v>15.157649656004919</v>
      </c>
      <c r="K31" s="319">
        <v>15.506275598093032</v>
      </c>
      <c r="L31" s="319">
        <v>15.86291993684917</v>
      </c>
      <c r="M31" s="319">
        <v>16.196041255523003</v>
      </c>
      <c r="N31" s="319">
        <v>16.536158121888985</v>
      </c>
      <c r="O31" s="319">
        <v>16.883417442448653</v>
      </c>
      <c r="P31" s="319">
        <v>17.237969208740072</v>
      </c>
      <c r="Q31" s="319">
        <v>17.599966562123612</v>
      </c>
    </row>
    <row r="32" spans="1:17" x14ac:dyDescent="0.25">
      <c r="A32" s="313">
        <v>4</v>
      </c>
      <c r="B32" s="313" t="s">
        <v>233</v>
      </c>
      <c r="C32" s="319">
        <v>18.119555604687154</v>
      </c>
      <c r="D32" s="319">
        <v>18.590176594758788</v>
      </c>
      <c r="E32" s="319">
        <v>19.333783658549141</v>
      </c>
      <c r="F32" s="319">
        <v>19.817128250012868</v>
      </c>
      <c r="G32" s="319">
        <v>20.312556456263188</v>
      </c>
      <c r="H32" s="319">
        <v>20.820370367669767</v>
      </c>
      <c r="I32" s="319">
        <v>21.299238886126169</v>
      </c>
      <c r="J32" s="319">
        <v>21.789121380507069</v>
      </c>
      <c r="K32" s="319">
        <v>22.290271172258731</v>
      </c>
      <c r="L32" s="319">
        <v>22.802947409220678</v>
      </c>
      <c r="M32" s="319">
        <v>23.28180930481431</v>
      </c>
      <c r="N32" s="319">
        <v>23.770727300215409</v>
      </c>
      <c r="O32" s="319">
        <v>24.269912573519932</v>
      </c>
      <c r="P32" s="319">
        <v>24.779580737563847</v>
      </c>
      <c r="Q32" s="319">
        <v>25.299951933052686</v>
      </c>
    </row>
    <row r="33" spans="1:17" x14ac:dyDescent="0.25">
      <c r="A33" s="313">
        <v>5</v>
      </c>
      <c r="B33" s="313" t="s">
        <v>233</v>
      </c>
      <c r="C33" s="319">
        <v>25.209816493477778</v>
      </c>
      <c r="D33" s="319">
        <v>25.864593523142663</v>
      </c>
      <c r="E33" s="319">
        <v>26.899177264068371</v>
      </c>
      <c r="F33" s="319">
        <v>27.571656695670079</v>
      </c>
      <c r="G33" s="319">
        <v>28.260948113061829</v>
      </c>
      <c r="H33" s="319">
        <v>28.967471815888373</v>
      </c>
      <c r="I33" s="319">
        <v>29.633723667653804</v>
      </c>
      <c r="J33" s="319">
        <v>30.315299312009838</v>
      </c>
      <c r="K33" s="319">
        <v>31.012551196186063</v>
      </c>
      <c r="L33" s="319">
        <v>31.725839873698341</v>
      </c>
      <c r="M33" s="319">
        <v>32.392082511046006</v>
      </c>
      <c r="N33" s="319">
        <v>33.072316243777969</v>
      </c>
      <c r="O33" s="319">
        <v>33.766834884897307</v>
      </c>
      <c r="P33" s="319">
        <v>34.475938417480144</v>
      </c>
      <c r="Q33" s="319">
        <v>35.199933124247224</v>
      </c>
    </row>
    <row r="34" spans="1:17" x14ac:dyDescent="0.25">
      <c r="A34" s="313">
        <v>6</v>
      </c>
      <c r="B34" s="313" t="s">
        <v>233</v>
      </c>
      <c r="C34" s="319">
        <v>42.541565332743751</v>
      </c>
      <c r="D34" s="319">
        <v>43.646501570303244</v>
      </c>
      <c r="E34" s="319">
        <v>45.392361633115378</v>
      </c>
      <c r="F34" s="319">
        <v>46.52717067394326</v>
      </c>
      <c r="G34" s="319">
        <v>47.69034994079184</v>
      </c>
      <c r="H34" s="319">
        <v>48.882608689311631</v>
      </c>
      <c r="I34" s="319">
        <v>50.006908689165797</v>
      </c>
      <c r="J34" s="319">
        <v>51.157067589016606</v>
      </c>
      <c r="K34" s="319">
        <v>52.333680143563981</v>
      </c>
      <c r="L34" s="319">
        <v>53.537354786865947</v>
      </c>
      <c r="M34" s="319">
        <v>54.661639237390126</v>
      </c>
      <c r="N34" s="319">
        <v>55.809533661375312</v>
      </c>
      <c r="O34" s="319">
        <v>56.981533868264187</v>
      </c>
      <c r="P34" s="319">
        <v>58.178146079497729</v>
      </c>
      <c r="Q34" s="319">
        <v>59.399887147167178</v>
      </c>
    </row>
    <row r="35" spans="1:17" x14ac:dyDescent="0.25">
      <c r="A35" s="313">
        <v>7</v>
      </c>
      <c r="B35" s="313" t="s">
        <v>233</v>
      </c>
      <c r="C35" s="319">
        <v>58.29770064116736</v>
      </c>
      <c r="D35" s="319">
        <v>59.811872522267407</v>
      </c>
      <c r="E35" s="319">
        <v>62.204347423158104</v>
      </c>
      <c r="F35" s="319">
        <v>63.759456108737048</v>
      </c>
      <c r="G35" s="319">
        <v>65.353442511455469</v>
      </c>
      <c r="H35" s="319">
        <v>66.987278574241856</v>
      </c>
      <c r="I35" s="319">
        <v>68.527985981449419</v>
      </c>
      <c r="J35" s="319">
        <v>70.104129659022746</v>
      </c>
      <c r="K35" s="319">
        <v>71.716524641180257</v>
      </c>
      <c r="L35" s="319">
        <v>73.366004707927402</v>
      </c>
      <c r="M35" s="319">
        <v>74.906690806793875</v>
      </c>
      <c r="N35" s="319">
        <v>76.479731313736536</v>
      </c>
      <c r="O35" s="319">
        <v>78.085805671324991</v>
      </c>
      <c r="P35" s="319">
        <v>79.725607590422811</v>
      </c>
      <c r="Q35" s="319">
        <v>81.399845349821689</v>
      </c>
    </row>
    <row r="36" spans="1:17" x14ac:dyDescent="0.25">
      <c r="A36" s="313">
        <v>8</v>
      </c>
      <c r="B36" s="313" t="s">
        <v>233</v>
      </c>
      <c r="C36" s="319">
        <v>94.536811850541667</v>
      </c>
      <c r="D36" s="319">
        <v>96.992225711784982</v>
      </c>
      <c r="E36" s="319">
        <v>100.87191474025639</v>
      </c>
      <c r="F36" s="319">
        <v>103.39371260876278</v>
      </c>
      <c r="G36" s="319">
        <v>105.97855542398185</v>
      </c>
      <c r="H36" s="319">
        <v>108.62801930958138</v>
      </c>
      <c r="I36" s="319">
        <v>111.12646375370174</v>
      </c>
      <c r="J36" s="319">
        <v>113.68237242003687</v>
      </c>
      <c r="K36" s="319">
        <v>116.29706698569771</v>
      </c>
      <c r="L36" s="319">
        <v>118.97189952636874</v>
      </c>
      <c r="M36" s="319">
        <v>121.47030941642248</v>
      </c>
      <c r="N36" s="319">
        <v>124.02118591416735</v>
      </c>
      <c r="O36" s="319">
        <v>126.62563081836485</v>
      </c>
      <c r="P36" s="319">
        <v>129.28476906555051</v>
      </c>
      <c r="Q36" s="319">
        <v>131.99974921592707</v>
      </c>
    </row>
    <row r="37" spans="1:17" x14ac:dyDescent="0.25">
      <c r="A37" s="318" t="s">
        <v>247</v>
      </c>
      <c r="B37" s="313"/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</row>
    <row r="38" spans="1:17" x14ac:dyDescent="0.25">
      <c r="A38" s="313">
        <v>1</v>
      </c>
      <c r="B38" s="313" t="s">
        <v>233</v>
      </c>
      <c r="C38" s="319">
        <f>C29*C$7*12</f>
        <v>173.94773380499666</v>
      </c>
      <c r="D38" s="319">
        <v>178.46569530968435</v>
      </c>
      <c r="E38" s="319">
        <v>185.60432312207175</v>
      </c>
      <c r="F38" s="319">
        <v>190.24443120012353</v>
      </c>
      <c r="G38" s="319">
        <v>195.00054198012663</v>
      </c>
      <c r="H38" s="319">
        <v>199.87555552962976</v>
      </c>
      <c r="I38" s="319">
        <v>204.47269330681124</v>
      </c>
      <c r="J38" s="319">
        <v>209.17556525286784</v>
      </c>
      <c r="K38" s="319">
        <v>213.98660325368382</v>
      </c>
      <c r="L38" s="319">
        <v>218.90829512851855</v>
      </c>
      <c r="M38" s="319">
        <v>223.50536932621742</v>
      </c>
      <c r="N38" s="319">
        <v>228.19898208206797</v>
      </c>
      <c r="O38" s="319">
        <v>232.9911607057914</v>
      </c>
      <c r="P38" s="319">
        <v>237.88397508061297</v>
      </c>
      <c r="Q38" s="319">
        <v>242.87953855730584</v>
      </c>
    </row>
    <row r="39" spans="1:17" x14ac:dyDescent="0.25">
      <c r="A39" s="313">
        <v>2</v>
      </c>
      <c r="B39" s="313" t="s">
        <v>233</v>
      </c>
      <c r="C39" s="319">
        <f t="shared" ref="C39:C44" si="3">C30*C$7*12</f>
        <v>260.92160070749497</v>
      </c>
      <c r="D39" s="319">
        <v>267.69854296452655</v>
      </c>
      <c r="E39" s="319">
        <v>278.40648468310764</v>
      </c>
      <c r="F39" s="319">
        <v>285.36664680018526</v>
      </c>
      <c r="G39" s="319">
        <v>292.50081297018983</v>
      </c>
      <c r="H39" s="319">
        <v>299.81333329444459</v>
      </c>
      <c r="I39" s="319">
        <v>306.70903996021678</v>
      </c>
      <c r="J39" s="319">
        <v>313.7633478793017</v>
      </c>
      <c r="K39" s="319">
        <v>320.97990488052562</v>
      </c>
      <c r="L39" s="319">
        <v>328.36244269277773</v>
      </c>
      <c r="M39" s="319">
        <v>335.25805398932602</v>
      </c>
      <c r="N39" s="319">
        <v>342.29847312310181</v>
      </c>
      <c r="O39" s="319">
        <v>349.4867410586869</v>
      </c>
      <c r="P39" s="319">
        <v>356.82596262091931</v>
      </c>
      <c r="Q39" s="319">
        <v>364.31930783595857</v>
      </c>
    </row>
    <row r="40" spans="1:17" x14ac:dyDescent="0.25">
      <c r="A40" s="313">
        <v>3</v>
      </c>
      <c r="B40" s="313" t="s">
        <v>233</v>
      </c>
      <c r="C40" s="319">
        <f t="shared" si="3"/>
        <v>347.89546760999332</v>
      </c>
      <c r="D40" s="319">
        <v>356.9313906193687</v>
      </c>
      <c r="E40" s="319">
        <v>371.20864624414349</v>
      </c>
      <c r="F40" s="319">
        <v>380.48886240024706</v>
      </c>
      <c r="G40" s="319">
        <v>390.00108396025325</v>
      </c>
      <c r="H40" s="319">
        <v>399.75111105925953</v>
      </c>
      <c r="I40" s="319">
        <v>408.94538661362247</v>
      </c>
      <c r="J40" s="319">
        <v>418.35113050573568</v>
      </c>
      <c r="K40" s="319">
        <v>427.97320650736765</v>
      </c>
      <c r="L40" s="319">
        <v>437.81659025703709</v>
      </c>
      <c r="M40" s="319">
        <v>447.01073865243484</v>
      </c>
      <c r="N40" s="319">
        <v>456.39796416413594</v>
      </c>
      <c r="O40" s="319">
        <v>465.9823214115828</v>
      </c>
      <c r="P40" s="319">
        <v>475.76795016122594</v>
      </c>
      <c r="Q40" s="319">
        <v>485.75907711461167</v>
      </c>
    </row>
    <row r="41" spans="1:17" x14ac:dyDescent="0.25">
      <c r="A41" s="313">
        <v>4</v>
      </c>
      <c r="B41" s="313" t="s">
        <v>233</v>
      </c>
      <c r="C41" s="319">
        <f t="shared" si="3"/>
        <v>500.09973468936539</v>
      </c>
      <c r="D41" s="319">
        <v>513.08887401534253</v>
      </c>
      <c r="E41" s="319">
        <v>533.61242897595628</v>
      </c>
      <c r="F41" s="319">
        <v>546.9527397003551</v>
      </c>
      <c r="G41" s="319">
        <v>560.62655819286397</v>
      </c>
      <c r="H41" s="319">
        <v>574.64222214768552</v>
      </c>
      <c r="I41" s="319">
        <v>587.85899325708226</v>
      </c>
      <c r="J41" s="319">
        <v>601.37975010199511</v>
      </c>
      <c r="K41" s="319">
        <v>615.21148435434088</v>
      </c>
      <c r="L41" s="319">
        <v>629.3613484944907</v>
      </c>
      <c r="M41" s="319">
        <v>642.5779368128749</v>
      </c>
      <c r="N41" s="319">
        <v>656.07207348594523</v>
      </c>
      <c r="O41" s="319">
        <v>669.84958702915003</v>
      </c>
      <c r="P41" s="319">
        <v>683.91642835676214</v>
      </c>
      <c r="Q41" s="319">
        <v>698.27867335225415</v>
      </c>
    </row>
    <row r="42" spans="1:17" x14ac:dyDescent="0.25">
      <c r="A42" s="313">
        <v>5</v>
      </c>
      <c r="B42" s="313" t="s">
        <v>233</v>
      </c>
      <c r="C42" s="319">
        <f t="shared" si="3"/>
        <v>695.79093521998664</v>
      </c>
      <c r="D42" s="319">
        <v>713.8627812387374</v>
      </c>
      <c r="E42" s="319">
        <v>742.41729248828699</v>
      </c>
      <c r="F42" s="319">
        <v>760.97772480049412</v>
      </c>
      <c r="G42" s="319">
        <v>780.00216792050651</v>
      </c>
      <c r="H42" s="319">
        <v>799.50222211851906</v>
      </c>
      <c r="I42" s="319">
        <v>817.89077322724495</v>
      </c>
      <c r="J42" s="319">
        <v>836.70226101147136</v>
      </c>
      <c r="K42" s="319">
        <v>855.9464130147353</v>
      </c>
      <c r="L42" s="319">
        <v>875.63318051407418</v>
      </c>
      <c r="M42" s="319">
        <v>894.02147730486968</v>
      </c>
      <c r="N42" s="319">
        <v>912.79592832827188</v>
      </c>
      <c r="O42" s="319">
        <v>931.9646428231656</v>
      </c>
      <c r="P42" s="319">
        <v>951.53590032245188</v>
      </c>
      <c r="Q42" s="319">
        <v>971.51815422922334</v>
      </c>
    </row>
    <row r="43" spans="1:17" x14ac:dyDescent="0.25">
      <c r="A43" s="313">
        <v>6</v>
      </c>
      <c r="B43" s="313" t="s">
        <v>233</v>
      </c>
      <c r="C43" s="319">
        <f t="shared" si="3"/>
        <v>1174.1472031837275</v>
      </c>
      <c r="D43" s="319">
        <v>1204.6434433403695</v>
      </c>
      <c r="E43" s="319">
        <v>1252.8291810739843</v>
      </c>
      <c r="F43" s="319">
        <v>1284.1499106008339</v>
      </c>
      <c r="G43" s="319">
        <v>1316.2536583658548</v>
      </c>
      <c r="H43" s="319">
        <v>1349.1599998250008</v>
      </c>
      <c r="I43" s="319">
        <v>1380.1906798209759</v>
      </c>
      <c r="J43" s="319">
        <v>1411.9350654568582</v>
      </c>
      <c r="K43" s="319">
        <v>1444.4095719623658</v>
      </c>
      <c r="L43" s="319">
        <v>1477.6309921175</v>
      </c>
      <c r="M43" s="319">
        <v>1508.6612429519673</v>
      </c>
      <c r="N43" s="319">
        <v>1540.3431290539586</v>
      </c>
      <c r="O43" s="319">
        <v>1572.6903347640914</v>
      </c>
      <c r="P43" s="319">
        <v>1605.7168317941371</v>
      </c>
      <c r="Q43" s="319">
        <v>1639.4368852618138</v>
      </c>
    </row>
    <row r="44" spans="1:17" x14ac:dyDescent="0.25">
      <c r="A44" s="313">
        <v>7</v>
      </c>
      <c r="B44" s="313" t="s">
        <v>233</v>
      </c>
      <c r="C44" s="319">
        <f t="shared" si="3"/>
        <v>1609.0165376962191</v>
      </c>
      <c r="D44" s="319">
        <v>1650.8076816145804</v>
      </c>
      <c r="E44" s="319">
        <v>1716.8399888791637</v>
      </c>
      <c r="F44" s="319">
        <v>1759.7609886011423</v>
      </c>
      <c r="G44" s="319">
        <v>1803.7550133161708</v>
      </c>
      <c r="H44" s="319">
        <v>1848.848888649075</v>
      </c>
      <c r="I44" s="319">
        <v>1891.3724130880037</v>
      </c>
      <c r="J44" s="319">
        <v>1934.8739785890275</v>
      </c>
      <c r="K44" s="319">
        <v>1979.3760800965749</v>
      </c>
      <c r="L44" s="319">
        <v>2024.9017299387961</v>
      </c>
      <c r="M44" s="319">
        <v>2067.4246662675109</v>
      </c>
      <c r="N44" s="319">
        <v>2110.8405842591283</v>
      </c>
      <c r="O44" s="319">
        <v>2155.1682365285697</v>
      </c>
      <c r="P44" s="319">
        <v>2200.4267694956693</v>
      </c>
      <c r="Q44" s="319">
        <v>2246.6357316550784</v>
      </c>
    </row>
    <row r="45" spans="1:17" x14ac:dyDescent="0.25">
      <c r="A45" s="313">
        <v>8</v>
      </c>
      <c r="B45" s="313" t="s">
        <v>233</v>
      </c>
      <c r="C45" s="319">
        <f>C36*C$7*12</f>
        <v>2609.2160070749501</v>
      </c>
      <c r="D45" s="319">
        <v>2676.9854296452654</v>
      </c>
      <c r="E45" s="319">
        <v>2784.064846831076</v>
      </c>
      <c r="F45" s="319">
        <v>2853.666468001853</v>
      </c>
      <c r="G45" s="319">
        <v>2925.0081297018987</v>
      </c>
      <c r="H45" s="319">
        <v>2998.133332944446</v>
      </c>
      <c r="I45" s="319">
        <v>3067.090399602168</v>
      </c>
      <c r="J45" s="319">
        <v>3137.6334787930173</v>
      </c>
      <c r="K45" s="319">
        <v>3209.7990488052565</v>
      </c>
      <c r="L45" s="319">
        <v>3283.6244269277768</v>
      </c>
      <c r="M45" s="319">
        <v>3352.5805398932603</v>
      </c>
      <c r="N45" s="319">
        <v>3422.9847312310185</v>
      </c>
      <c r="O45" s="319">
        <v>3494.8674105868695</v>
      </c>
      <c r="P45" s="319">
        <v>3568.2596262091934</v>
      </c>
      <c r="Q45" s="319">
        <v>3643.1930783595872</v>
      </c>
    </row>
    <row r="46" spans="1:17" ht="38.25" x14ac:dyDescent="0.25">
      <c r="A46" s="312" t="s">
        <v>248</v>
      </c>
      <c r="B46" s="313"/>
      <c r="C46" s="314"/>
      <c r="D46" s="314"/>
      <c r="E46" s="314"/>
      <c r="F46" s="314"/>
      <c r="G46" s="314"/>
      <c r="H46" s="314"/>
      <c r="I46" s="314"/>
      <c r="J46" s="314"/>
      <c r="K46" s="314"/>
      <c r="L46" s="314"/>
      <c r="M46" s="314"/>
      <c r="N46" s="314"/>
      <c r="O46" s="314"/>
      <c r="P46" s="314"/>
      <c r="Q46" s="314"/>
    </row>
    <row r="47" spans="1:17" x14ac:dyDescent="0.25">
      <c r="A47" s="313">
        <v>1</v>
      </c>
      <c r="B47" s="313" t="s">
        <v>122</v>
      </c>
      <c r="C47" s="320">
        <f>IF(C29&lt;C$9,10,22)</f>
        <v>10</v>
      </c>
      <c r="D47" s="320">
        <v>10</v>
      </c>
      <c r="E47" s="320">
        <v>10</v>
      </c>
      <c r="F47" s="320">
        <v>10</v>
      </c>
      <c r="G47" s="320">
        <v>10</v>
      </c>
      <c r="H47" s="320">
        <v>10</v>
      </c>
      <c r="I47" s="320">
        <v>10</v>
      </c>
      <c r="J47" s="320">
        <v>10</v>
      </c>
      <c r="K47" s="320">
        <v>10</v>
      </c>
      <c r="L47" s="320">
        <v>10</v>
      </c>
      <c r="M47" s="320">
        <v>10</v>
      </c>
      <c r="N47" s="320">
        <v>10</v>
      </c>
      <c r="O47" s="320">
        <v>10</v>
      </c>
      <c r="P47" s="320">
        <v>10</v>
      </c>
      <c r="Q47" s="320">
        <v>10</v>
      </c>
    </row>
    <row r="48" spans="1:17" x14ac:dyDescent="0.25">
      <c r="A48" s="313">
        <v>2</v>
      </c>
      <c r="B48" s="313" t="s">
        <v>122</v>
      </c>
      <c r="C48" s="320">
        <f t="shared" ref="C48:C54" si="4">IF(C30&lt;C$9,10,22)</f>
        <v>10</v>
      </c>
      <c r="D48" s="320">
        <v>10</v>
      </c>
      <c r="E48" s="320">
        <v>10</v>
      </c>
      <c r="F48" s="320">
        <v>10</v>
      </c>
      <c r="G48" s="320">
        <v>10</v>
      </c>
      <c r="H48" s="320">
        <v>10</v>
      </c>
      <c r="I48" s="320">
        <v>10</v>
      </c>
      <c r="J48" s="320">
        <v>10</v>
      </c>
      <c r="K48" s="320">
        <v>10</v>
      </c>
      <c r="L48" s="320">
        <v>10</v>
      </c>
      <c r="M48" s="320">
        <v>10</v>
      </c>
      <c r="N48" s="320">
        <v>10</v>
      </c>
      <c r="O48" s="320">
        <v>10</v>
      </c>
      <c r="P48" s="320">
        <v>10</v>
      </c>
      <c r="Q48" s="320">
        <v>10</v>
      </c>
    </row>
    <row r="49" spans="1:17" x14ac:dyDescent="0.25">
      <c r="A49" s="313">
        <v>3</v>
      </c>
      <c r="B49" s="313" t="s">
        <v>122</v>
      </c>
      <c r="C49" s="320">
        <f t="shared" si="4"/>
        <v>10</v>
      </c>
      <c r="D49" s="320">
        <v>10</v>
      </c>
      <c r="E49" s="320">
        <v>10</v>
      </c>
      <c r="F49" s="320">
        <v>10</v>
      </c>
      <c r="G49" s="320">
        <v>10</v>
      </c>
      <c r="H49" s="320">
        <v>10</v>
      </c>
      <c r="I49" s="320">
        <v>10</v>
      </c>
      <c r="J49" s="320">
        <v>10</v>
      </c>
      <c r="K49" s="320">
        <v>10</v>
      </c>
      <c r="L49" s="320">
        <v>10</v>
      </c>
      <c r="M49" s="320">
        <v>10</v>
      </c>
      <c r="N49" s="320">
        <v>10</v>
      </c>
      <c r="O49" s="320">
        <v>10</v>
      </c>
      <c r="P49" s="320">
        <v>10</v>
      </c>
      <c r="Q49" s="320">
        <v>10</v>
      </c>
    </row>
    <row r="50" spans="1:17" x14ac:dyDescent="0.25">
      <c r="A50" s="313">
        <v>4</v>
      </c>
      <c r="B50" s="313" t="s">
        <v>122</v>
      </c>
      <c r="C50" s="320">
        <f t="shared" si="4"/>
        <v>22</v>
      </c>
      <c r="D50" s="320">
        <v>10</v>
      </c>
      <c r="E50" s="320">
        <v>10</v>
      </c>
      <c r="F50" s="320">
        <v>10</v>
      </c>
      <c r="G50" s="320">
        <v>10</v>
      </c>
      <c r="H50" s="320">
        <v>10</v>
      </c>
      <c r="I50" s="320">
        <v>10</v>
      </c>
      <c r="J50" s="320">
        <v>10</v>
      </c>
      <c r="K50" s="320">
        <v>10</v>
      </c>
      <c r="L50" s="320">
        <v>10</v>
      </c>
      <c r="M50" s="320">
        <v>10</v>
      </c>
      <c r="N50" s="320">
        <v>10</v>
      </c>
      <c r="O50" s="320">
        <v>10</v>
      </c>
      <c r="P50" s="320">
        <v>10</v>
      </c>
      <c r="Q50" s="320">
        <v>10</v>
      </c>
    </row>
    <row r="51" spans="1:17" x14ac:dyDescent="0.25">
      <c r="A51" s="313">
        <v>5</v>
      </c>
      <c r="B51" s="313" t="s">
        <v>122</v>
      </c>
      <c r="C51" s="320">
        <f t="shared" si="4"/>
        <v>22</v>
      </c>
      <c r="D51" s="320">
        <v>22</v>
      </c>
      <c r="E51" s="320">
        <v>22</v>
      </c>
      <c r="F51" s="320">
        <v>22</v>
      </c>
      <c r="G51" s="320">
        <v>22</v>
      </c>
      <c r="H51" s="320">
        <v>22</v>
      </c>
      <c r="I51" s="320">
        <v>22</v>
      </c>
      <c r="J51" s="320">
        <v>22</v>
      </c>
      <c r="K51" s="320">
        <v>22</v>
      </c>
      <c r="L51" s="320">
        <v>22</v>
      </c>
      <c r="M51" s="320">
        <v>22</v>
      </c>
      <c r="N51" s="320">
        <v>22</v>
      </c>
      <c r="O51" s="320">
        <v>22</v>
      </c>
      <c r="P51" s="320">
        <v>22</v>
      </c>
      <c r="Q51" s="320">
        <v>22</v>
      </c>
    </row>
    <row r="52" spans="1:17" x14ac:dyDescent="0.25">
      <c r="A52" s="313">
        <v>6</v>
      </c>
      <c r="B52" s="313" t="s">
        <v>122</v>
      </c>
      <c r="C52" s="320">
        <f t="shared" si="4"/>
        <v>22</v>
      </c>
      <c r="D52" s="320">
        <v>22</v>
      </c>
      <c r="E52" s="320">
        <v>22</v>
      </c>
      <c r="F52" s="320">
        <v>22</v>
      </c>
      <c r="G52" s="320">
        <v>22</v>
      </c>
      <c r="H52" s="320">
        <v>22</v>
      </c>
      <c r="I52" s="320">
        <v>22</v>
      </c>
      <c r="J52" s="320">
        <v>22</v>
      </c>
      <c r="K52" s="320">
        <v>22</v>
      </c>
      <c r="L52" s="320">
        <v>22</v>
      </c>
      <c r="M52" s="320">
        <v>22</v>
      </c>
      <c r="N52" s="320">
        <v>22</v>
      </c>
      <c r="O52" s="320">
        <v>22</v>
      </c>
      <c r="P52" s="320">
        <v>22</v>
      </c>
      <c r="Q52" s="320">
        <v>22</v>
      </c>
    </row>
    <row r="53" spans="1:17" x14ac:dyDescent="0.25">
      <c r="A53" s="313">
        <v>7</v>
      </c>
      <c r="B53" s="313" t="s">
        <v>122</v>
      </c>
      <c r="C53" s="320">
        <f t="shared" si="4"/>
        <v>22</v>
      </c>
      <c r="D53" s="320">
        <v>22</v>
      </c>
      <c r="E53" s="320">
        <v>22</v>
      </c>
      <c r="F53" s="320">
        <v>22</v>
      </c>
      <c r="G53" s="320">
        <v>22</v>
      </c>
      <c r="H53" s="320">
        <v>22</v>
      </c>
      <c r="I53" s="320">
        <v>22</v>
      </c>
      <c r="J53" s="320">
        <v>22</v>
      </c>
      <c r="K53" s="320">
        <v>22</v>
      </c>
      <c r="L53" s="320">
        <v>22</v>
      </c>
      <c r="M53" s="320">
        <v>22</v>
      </c>
      <c r="N53" s="320">
        <v>22</v>
      </c>
      <c r="O53" s="320">
        <v>22</v>
      </c>
      <c r="P53" s="320">
        <v>22</v>
      </c>
      <c r="Q53" s="320">
        <v>22</v>
      </c>
    </row>
    <row r="54" spans="1:17" x14ac:dyDescent="0.25">
      <c r="A54" s="313">
        <v>8</v>
      </c>
      <c r="B54" s="313" t="s">
        <v>122</v>
      </c>
      <c r="C54" s="320">
        <f t="shared" si="4"/>
        <v>22</v>
      </c>
      <c r="D54" s="320">
        <v>22</v>
      </c>
      <c r="E54" s="320">
        <v>22</v>
      </c>
      <c r="F54" s="320">
        <v>22</v>
      </c>
      <c r="G54" s="320">
        <v>22</v>
      </c>
      <c r="H54" s="320">
        <v>22</v>
      </c>
      <c r="I54" s="320">
        <v>22</v>
      </c>
      <c r="J54" s="320">
        <v>22</v>
      </c>
      <c r="K54" s="320">
        <v>22</v>
      </c>
      <c r="L54" s="320">
        <v>22</v>
      </c>
      <c r="M54" s="320">
        <v>22</v>
      </c>
      <c r="N54" s="320">
        <v>22</v>
      </c>
      <c r="O54" s="320">
        <v>22</v>
      </c>
      <c r="P54" s="320">
        <v>22</v>
      </c>
      <c r="Q54" s="320">
        <v>22</v>
      </c>
    </row>
    <row r="55" spans="1:17" x14ac:dyDescent="0.25">
      <c r="A55" s="318" t="s">
        <v>249</v>
      </c>
      <c r="B55" s="313"/>
      <c r="C55" s="314"/>
      <c r="D55" s="314"/>
      <c r="E55" s="314"/>
      <c r="F55" s="314"/>
      <c r="G55" s="314"/>
      <c r="H55" s="314"/>
      <c r="I55" s="314"/>
      <c r="J55" s="314"/>
      <c r="K55" s="314"/>
      <c r="L55" s="314"/>
      <c r="M55" s="314"/>
      <c r="N55" s="314"/>
      <c r="O55" s="314"/>
      <c r="P55" s="314"/>
      <c r="Q55" s="314"/>
    </row>
    <row r="56" spans="1:17" x14ac:dyDescent="0.25">
      <c r="A56" s="313">
        <v>1</v>
      </c>
      <c r="B56" s="313" t="s">
        <v>233</v>
      </c>
      <c r="C56" s="319">
        <f>C47*C38/100</f>
        <v>17.394773380499668</v>
      </c>
      <c r="D56" s="319">
        <v>17.846569530968438</v>
      </c>
      <c r="E56" s="319">
        <v>18.560432312207173</v>
      </c>
      <c r="F56" s="319">
        <v>19.02444312001235</v>
      </c>
      <c r="G56" s="319">
        <v>19.500054198012663</v>
      </c>
      <c r="H56" s="319">
        <v>19.987555552962977</v>
      </c>
      <c r="I56" s="319">
        <v>20.447269330681124</v>
      </c>
      <c r="J56" s="319">
        <v>20.917556525286781</v>
      </c>
      <c r="K56" s="319">
        <v>21.398660325368382</v>
      </c>
      <c r="L56" s="319">
        <v>21.890829512851855</v>
      </c>
      <c r="M56" s="319">
        <v>22.350536932621743</v>
      </c>
      <c r="N56" s="319">
        <v>22.819898208206794</v>
      </c>
      <c r="O56" s="319">
        <v>23.299116070579139</v>
      </c>
      <c r="P56" s="319">
        <v>23.788397508061298</v>
      </c>
      <c r="Q56" s="319">
        <v>24.287953855730585</v>
      </c>
    </row>
    <row r="57" spans="1:17" x14ac:dyDescent="0.25">
      <c r="A57" s="313">
        <v>2</v>
      </c>
      <c r="B57" s="313" t="s">
        <v>233</v>
      </c>
      <c r="C57" s="319">
        <f t="shared" ref="C57:C63" si="5">C48*C39/100</f>
        <v>26.092160070749497</v>
      </c>
      <c r="D57" s="319">
        <v>26.769854296452653</v>
      </c>
      <c r="E57" s="319">
        <v>27.840648468310764</v>
      </c>
      <c r="F57" s="319">
        <v>28.536664680018525</v>
      </c>
      <c r="G57" s="319">
        <v>29.250081297018983</v>
      </c>
      <c r="H57" s="319">
        <v>29.98133332944446</v>
      </c>
      <c r="I57" s="319">
        <v>30.670903996021678</v>
      </c>
      <c r="J57" s="319">
        <v>31.376334787930173</v>
      </c>
      <c r="K57" s="319">
        <v>32.097990488052567</v>
      </c>
      <c r="L57" s="319">
        <v>32.836244269277771</v>
      </c>
      <c r="M57" s="319">
        <v>33.525805398932604</v>
      </c>
      <c r="N57" s="319">
        <v>34.229847312310177</v>
      </c>
      <c r="O57" s="319">
        <v>34.94867410586869</v>
      </c>
      <c r="P57" s="319">
        <v>35.682596262091927</v>
      </c>
      <c r="Q57" s="319">
        <v>36.43193078359586</v>
      </c>
    </row>
    <row r="58" spans="1:17" x14ac:dyDescent="0.25">
      <c r="A58" s="313">
        <v>3</v>
      </c>
      <c r="B58" s="313" t="s">
        <v>233</v>
      </c>
      <c r="C58" s="319">
        <f t="shared" si="5"/>
        <v>34.789546760999336</v>
      </c>
      <c r="D58" s="319">
        <v>35.693139061936876</v>
      </c>
      <c r="E58" s="319">
        <v>37.120864624414345</v>
      </c>
      <c r="F58" s="319">
        <v>38.0488862400247</v>
      </c>
      <c r="G58" s="319">
        <v>39.000108396025325</v>
      </c>
      <c r="H58" s="319">
        <v>39.975111105925954</v>
      </c>
      <c r="I58" s="319">
        <v>40.894538661362247</v>
      </c>
      <c r="J58" s="319">
        <v>41.835113050573561</v>
      </c>
      <c r="K58" s="319">
        <v>42.797320650736765</v>
      </c>
      <c r="L58" s="319">
        <v>43.781659025703711</v>
      </c>
      <c r="M58" s="319">
        <v>44.701073865243487</v>
      </c>
      <c r="N58" s="319">
        <v>45.639796416413589</v>
      </c>
      <c r="O58" s="319">
        <v>46.598232141158277</v>
      </c>
      <c r="P58" s="319">
        <v>47.576795016122595</v>
      </c>
      <c r="Q58" s="319">
        <v>48.57590771146117</v>
      </c>
    </row>
    <row r="59" spans="1:17" x14ac:dyDescent="0.25">
      <c r="A59" s="313">
        <v>4</v>
      </c>
      <c r="B59" s="313" t="s">
        <v>233</v>
      </c>
      <c r="C59" s="319">
        <f t="shared" si="5"/>
        <v>110.0219416316604</v>
      </c>
      <c r="D59" s="319">
        <v>51.30888740153425</v>
      </c>
      <c r="E59" s="319">
        <v>53.361242897595631</v>
      </c>
      <c r="F59" s="319">
        <v>54.695273970035508</v>
      </c>
      <c r="G59" s="319">
        <v>56.062655819286391</v>
      </c>
      <c r="H59" s="319">
        <v>57.464222214768554</v>
      </c>
      <c r="I59" s="319">
        <v>58.785899325708222</v>
      </c>
      <c r="J59" s="319">
        <v>60.137975010199519</v>
      </c>
      <c r="K59" s="319">
        <v>61.521148435434085</v>
      </c>
      <c r="L59" s="319">
        <v>62.936134849449076</v>
      </c>
      <c r="M59" s="319">
        <v>64.257793681287495</v>
      </c>
      <c r="N59" s="319">
        <v>65.607207348594514</v>
      </c>
      <c r="O59" s="319">
        <v>66.984958702914994</v>
      </c>
      <c r="P59" s="319">
        <v>68.391642835676208</v>
      </c>
      <c r="Q59" s="319">
        <v>69.82786733522542</v>
      </c>
    </row>
    <row r="60" spans="1:17" x14ac:dyDescent="0.25">
      <c r="A60" s="313">
        <v>5</v>
      </c>
      <c r="B60" s="313" t="s">
        <v>233</v>
      </c>
      <c r="C60" s="319">
        <f t="shared" si="5"/>
        <v>153.07400574839707</v>
      </c>
      <c r="D60" s="319">
        <v>157.04981187252221</v>
      </c>
      <c r="E60" s="319">
        <v>163.33180434742314</v>
      </c>
      <c r="F60" s="319">
        <v>167.41509945610869</v>
      </c>
      <c r="G60" s="319">
        <v>171.60047694251145</v>
      </c>
      <c r="H60" s="319">
        <v>175.89048886607418</v>
      </c>
      <c r="I60" s="319">
        <v>179.93597010999392</v>
      </c>
      <c r="J60" s="319">
        <v>184.07449742252371</v>
      </c>
      <c r="K60" s="319">
        <v>188.30821086324175</v>
      </c>
      <c r="L60" s="319">
        <v>192.63929971309634</v>
      </c>
      <c r="M60" s="319">
        <v>196.68472500707131</v>
      </c>
      <c r="N60" s="319">
        <v>200.81510423221982</v>
      </c>
      <c r="O60" s="319">
        <v>205.03222142109644</v>
      </c>
      <c r="P60" s="319">
        <v>209.33789807093942</v>
      </c>
      <c r="Q60" s="319">
        <v>213.73399393042914</v>
      </c>
    </row>
    <row r="61" spans="1:17" x14ac:dyDescent="0.25">
      <c r="A61" s="313">
        <v>6</v>
      </c>
      <c r="B61" s="313" t="s">
        <v>233</v>
      </c>
      <c r="C61" s="319">
        <f t="shared" si="5"/>
        <v>258.31238470042007</v>
      </c>
      <c r="D61" s="319">
        <v>265.02155753488131</v>
      </c>
      <c r="E61" s="319">
        <v>275.62241983627655</v>
      </c>
      <c r="F61" s="319">
        <v>282.51298033218347</v>
      </c>
      <c r="G61" s="319">
        <v>289.57580484048805</v>
      </c>
      <c r="H61" s="319">
        <v>296.81519996150018</v>
      </c>
      <c r="I61" s="319">
        <v>303.64194956061471</v>
      </c>
      <c r="J61" s="319">
        <v>310.6257144005088</v>
      </c>
      <c r="K61" s="319">
        <v>317.77010583172046</v>
      </c>
      <c r="L61" s="319">
        <v>325.07881826584997</v>
      </c>
      <c r="M61" s="319">
        <v>331.9054734494328</v>
      </c>
      <c r="N61" s="319">
        <v>338.87548839187087</v>
      </c>
      <c r="O61" s="319">
        <v>345.99187364810007</v>
      </c>
      <c r="P61" s="319">
        <v>353.25770299471014</v>
      </c>
      <c r="Q61" s="319">
        <v>360.67611475759907</v>
      </c>
    </row>
    <row r="62" spans="1:17" x14ac:dyDescent="0.25">
      <c r="A62" s="313">
        <v>7</v>
      </c>
      <c r="B62" s="313" t="s">
        <v>233</v>
      </c>
      <c r="C62" s="319">
        <f t="shared" si="5"/>
        <v>353.98363829316821</v>
      </c>
      <c r="D62" s="319">
        <v>363.17768995520765</v>
      </c>
      <c r="E62" s="319">
        <v>377.70479755341597</v>
      </c>
      <c r="F62" s="319">
        <v>387.14741749225135</v>
      </c>
      <c r="G62" s="319">
        <v>396.82610292955758</v>
      </c>
      <c r="H62" s="319">
        <v>406.74675550279653</v>
      </c>
      <c r="I62" s="319">
        <v>416.10193087936079</v>
      </c>
      <c r="J62" s="319">
        <v>425.67227528958603</v>
      </c>
      <c r="K62" s="319">
        <v>435.4627376212465</v>
      </c>
      <c r="L62" s="319">
        <v>445.47838058653514</v>
      </c>
      <c r="M62" s="319">
        <v>454.83342657885237</v>
      </c>
      <c r="N62" s="319">
        <v>464.38492853700825</v>
      </c>
      <c r="O62" s="319">
        <v>474.13701203628528</v>
      </c>
      <c r="P62" s="319">
        <v>484.09388928904724</v>
      </c>
      <c r="Q62" s="319">
        <v>494.25986096411725</v>
      </c>
    </row>
    <row r="63" spans="1:17" x14ac:dyDescent="0.25">
      <c r="A63" s="313">
        <v>8</v>
      </c>
      <c r="B63" s="313" t="s">
        <v>233</v>
      </c>
      <c r="C63" s="319">
        <f t="shared" si="5"/>
        <v>574.02752155648898</v>
      </c>
      <c r="D63" s="319">
        <v>588.9367945219584</v>
      </c>
      <c r="E63" s="319">
        <v>612.49426630283665</v>
      </c>
      <c r="F63" s="319">
        <v>627.80662296040771</v>
      </c>
      <c r="G63" s="319">
        <v>643.50178853441776</v>
      </c>
      <c r="H63" s="319">
        <v>659.58933324777809</v>
      </c>
      <c r="I63" s="319">
        <v>674.75988791247698</v>
      </c>
      <c r="J63" s="319">
        <v>690.27936533446382</v>
      </c>
      <c r="K63" s="319">
        <v>706.15579073715639</v>
      </c>
      <c r="L63" s="319">
        <v>722.39737392411087</v>
      </c>
      <c r="M63" s="319">
        <v>737.56771877651727</v>
      </c>
      <c r="N63" s="319">
        <v>753.05664087082403</v>
      </c>
      <c r="O63" s="319">
        <v>768.8708303291113</v>
      </c>
      <c r="P63" s="319">
        <v>785.01711776602258</v>
      </c>
      <c r="Q63" s="319">
        <v>801.50247723910911</v>
      </c>
    </row>
    <row r="64" spans="1:17" x14ac:dyDescent="0.25">
      <c r="A64" s="318" t="s">
        <v>250</v>
      </c>
      <c r="B64" s="313" t="s">
        <v>251</v>
      </c>
      <c r="C64" s="315" t="e">
        <f>SUM(C65:C72)</f>
        <v>#VALUE!</v>
      </c>
      <c r="D64" s="315">
        <v>3.4679500000000001</v>
      </c>
      <c r="E64" s="315">
        <v>3.5680540000000001</v>
      </c>
      <c r="F64" s="315">
        <v>3.668158</v>
      </c>
      <c r="G64" s="315">
        <v>3.7683479999999996</v>
      </c>
      <c r="H64" s="315">
        <v>3.868452</v>
      </c>
      <c r="I64" s="315">
        <v>3.9685560000000004</v>
      </c>
      <c r="J64" s="315">
        <v>4.0686599999999995</v>
      </c>
      <c r="K64" s="315">
        <v>4.1688499999999999</v>
      </c>
      <c r="L64" s="315">
        <v>4.2689540000000008</v>
      </c>
      <c r="M64" s="315">
        <v>4.369057999999999</v>
      </c>
      <c r="N64" s="315">
        <v>4.4692480000000003</v>
      </c>
      <c r="O64" s="315">
        <v>4.5693519999999994</v>
      </c>
      <c r="P64" s="315">
        <v>4.6694560000000003</v>
      </c>
      <c r="Q64" s="315">
        <v>4.7696459999999998</v>
      </c>
    </row>
    <row r="65" spans="1:17" x14ac:dyDescent="0.25">
      <c r="A65" s="313">
        <v>1</v>
      </c>
      <c r="B65" s="313" t="s">
        <v>251</v>
      </c>
      <c r="C65" s="315" t="e">
        <f>IF(C56&lt;C$8,C20,0)</f>
        <v>#VALUE!</v>
      </c>
      <c r="D65" s="315">
        <v>0.120975</v>
      </c>
      <c r="E65" s="315">
        <v>0.12446699999999998</v>
      </c>
      <c r="F65" s="315">
        <v>0.12795899999999999</v>
      </c>
      <c r="G65" s="315">
        <v>0.13145399999999999</v>
      </c>
      <c r="H65" s="315">
        <v>0.13494600000000001</v>
      </c>
      <c r="I65" s="315">
        <v>0.13843800000000001</v>
      </c>
      <c r="J65" s="315">
        <v>0.14193</v>
      </c>
      <c r="K65" s="315">
        <v>0.145425</v>
      </c>
      <c r="L65" s="315">
        <v>0.14891699999999999</v>
      </c>
      <c r="M65" s="315">
        <v>0.15240899999999999</v>
      </c>
      <c r="N65" s="315">
        <v>0.15590400000000001</v>
      </c>
      <c r="O65" s="315">
        <v>0.15939599999999998</v>
      </c>
      <c r="P65" s="315">
        <v>0.16288799999999998</v>
      </c>
      <c r="Q65" s="315">
        <v>0.16638299999999998</v>
      </c>
    </row>
    <row r="66" spans="1:17" x14ac:dyDescent="0.25">
      <c r="A66" s="313">
        <v>2</v>
      </c>
      <c r="B66" s="313" t="s">
        <v>251</v>
      </c>
      <c r="C66" s="315" t="e">
        <f t="shared" ref="C66:C72" si="6">IF(C57&lt;C$8,C21,0)</f>
        <v>#VALUE!</v>
      </c>
      <c r="D66" s="315">
        <v>0.36292500000000005</v>
      </c>
      <c r="E66" s="315">
        <v>0.37340099999999998</v>
      </c>
      <c r="F66" s="315">
        <v>0.38387700000000002</v>
      </c>
      <c r="G66" s="315">
        <v>0.39436199999999999</v>
      </c>
      <c r="H66" s="315">
        <v>0.40483800000000003</v>
      </c>
      <c r="I66" s="315">
        <v>0.41531400000000007</v>
      </c>
      <c r="J66" s="315">
        <v>0.42579</v>
      </c>
      <c r="K66" s="315">
        <v>0.43627500000000002</v>
      </c>
      <c r="L66" s="315">
        <v>0.44675100000000001</v>
      </c>
      <c r="M66" s="315">
        <v>0.45722699999999994</v>
      </c>
      <c r="N66" s="315">
        <v>0.46771200000000007</v>
      </c>
      <c r="O66" s="315">
        <v>0.47818799999999995</v>
      </c>
      <c r="P66" s="315">
        <v>0.48866399999999999</v>
      </c>
      <c r="Q66" s="315">
        <v>0.49914900000000001</v>
      </c>
    </row>
    <row r="67" spans="1:17" x14ac:dyDescent="0.25">
      <c r="A67" s="313">
        <v>3</v>
      </c>
      <c r="B67" s="313" t="s">
        <v>251</v>
      </c>
      <c r="C67" s="315" t="e">
        <f t="shared" si="6"/>
        <v>#VALUE!</v>
      </c>
      <c r="D67" s="315">
        <v>0.96779999999999999</v>
      </c>
      <c r="E67" s="315">
        <v>0.99573599999999984</v>
      </c>
      <c r="F67" s="315">
        <v>1.0236719999999999</v>
      </c>
      <c r="G67" s="315">
        <v>1.0516319999999999</v>
      </c>
      <c r="H67" s="315">
        <v>1.0795680000000001</v>
      </c>
      <c r="I67" s="315">
        <v>1.107504</v>
      </c>
      <c r="J67" s="315">
        <v>1.13544</v>
      </c>
      <c r="K67" s="315">
        <v>1.1634</v>
      </c>
      <c r="L67" s="315">
        <v>1.191336</v>
      </c>
      <c r="M67" s="315">
        <v>1.2192719999999999</v>
      </c>
      <c r="N67" s="315">
        <v>1.2472320000000001</v>
      </c>
      <c r="O67" s="315">
        <v>1.2751679999999999</v>
      </c>
      <c r="P67" s="315">
        <v>1.3031039999999998</v>
      </c>
      <c r="Q67" s="315">
        <v>1.3310639999999998</v>
      </c>
    </row>
    <row r="68" spans="1:17" x14ac:dyDescent="0.25">
      <c r="A68" s="313">
        <v>4</v>
      </c>
      <c r="B68" s="313" t="s">
        <v>251</v>
      </c>
      <c r="C68" s="315" t="e">
        <f t="shared" si="6"/>
        <v>#VALUE!</v>
      </c>
      <c r="D68" s="315">
        <v>2.0162499999999999</v>
      </c>
      <c r="E68" s="315">
        <v>2.0744500000000001</v>
      </c>
      <c r="F68" s="315">
        <v>2.1326499999999999</v>
      </c>
      <c r="G68" s="315">
        <v>2.1908999999999996</v>
      </c>
      <c r="H68" s="315">
        <v>2.2490999999999999</v>
      </c>
      <c r="I68" s="315">
        <v>2.3073000000000001</v>
      </c>
      <c r="J68" s="315">
        <v>2.3654999999999999</v>
      </c>
      <c r="K68" s="315">
        <v>2.4237500000000001</v>
      </c>
      <c r="L68" s="315">
        <v>2.4819500000000003</v>
      </c>
      <c r="M68" s="315">
        <v>2.5401499999999997</v>
      </c>
      <c r="N68" s="315">
        <v>2.5984000000000003</v>
      </c>
      <c r="O68" s="315">
        <v>2.6565999999999996</v>
      </c>
      <c r="P68" s="315">
        <v>2.7148000000000003</v>
      </c>
      <c r="Q68" s="315">
        <v>2.77305</v>
      </c>
    </row>
    <row r="69" spans="1:17" x14ac:dyDescent="0.25">
      <c r="A69" s="313">
        <v>5</v>
      </c>
      <c r="B69" s="313" t="s">
        <v>251</v>
      </c>
      <c r="C69" s="315" t="e">
        <f t="shared" si="6"/>
        <v>#VALUE!</v>
      </c>
      <c r="D69" s="315">
        <v>0</v>
      </c>
      <c r="E69" s="315">
        <v>0</v>
      </c>
      <c r="F69" s="315">
        <v>0</v>
      </c>
      <c r="G69" s="315">
        <v>0</v>
      </c>
      <c r="H69" s="315">
        <v>0</v>
      </c>
      <c r="I69" s="315">
        <v>0</v>
      </c>
      <c r="J69" s="315">
        <v>0</v>
      </c>
      <c r="K69" s="315">
        <v>0</v>
      </c>
      <c r="L69" s="315">
        <v>0</v>
      </c>
      <c r="M69" s="315">
        <v>0</v>
      </c>
      <c r="N69" s="315">
        <v>0</v>
      </c>
      <c r="O69" s="315">
        <v>0</v>
      </c>
      <c r="P69" s="315">
        <v>0</v>
      </c>
      <c r="Q69" s="315">
        <v>0</v>
      </c>
    </row>
    <row r="70" spans="1:17" x14ac:dyDescent="0.25">
      <c r="A70" s="313">
        <v>6</v>
      </c>
      <c r="B70" s="313" t="s">
        <v>251</v>
      </c>
      <c r="C70" s="315" t="e">
        <f t="shared" si="6"/>
        <v>#VALUE!</v>
      </c>
      <c r="D70" s="315">
        <v>0</v>
      </c>
      <c r="E70" s="315">
        <v>0</v>
      </c>
      <c r="F70" s="315">
        <v>0</v>
      </c>
      <c r="G70" s="315">
        <v>0</v>
      </c>
      <c r="H70" s="315">
        <v>0</v>
      </c>
      <c r="I70" s="315">
        <v>0</v>
      </c>
      <c r="J70" s="315">
        <v>0</v>
      </c>
      <c r="K70" s="315">
        <v>0</v>
      </c>
      <c r="L70" s="315">
        <v>0</v>
      </c>
      <c r="M70" s="315">
        <v>0</v>
      </c>
      <c r="N70" s="315">
        <v>0</v>
      </c>
      <c r="O70" s="315">
        <v>0</v>
      </c>
      <c r="P70" s="315">
        <v>0</v>
      </c>
      <c r="Q70" s="315">
        <v>0</v>
      </c>
    </row>
    <row r="71" spans="1:17" x14ac:dyDescent="0.25">
      <c r="A71" s="313">
        <v>7</v>
      </c>
      <c r="B71" s="313" t="s">
        <v>251</v>
      </c>
      <c r="C71" s="315" t="e">
        <f t="shared" si="6"/>
        <v>#VALUE!</v>
      </c>
      <c r="D71" s="315">
        <v>0</v>
      </c>
      <c r="E71" s="315">
        <v>0</v>
      </c>
      <c r="F71" s="315">
        <v>0</v>
      </c>
      <c r="G71" s="315">
        <v>0</v>
      </c>
      <c r="H71" s="315">
        <v>0</v>
      </c>
      <c r="I71" s="315">
        <v>0</v>
      </c>
      <c r="J71" s="315">
        <v>0</v>
      </c>
      <c r="K71" s="315">
        <v>0</v>
      </c>
      <c r="L71" s="315">
        <v>0</v>
      </c>
      <c r="M71" s="315">
        <v>0</v>
      </c>
      <c r="N71" s="315">
        <v>0</v>
      </c>
      <c r="O71" s="315">
        <v>0</v>
      </c>
      <c r="P71" s="315">
        <v>0</v>
      </c>
      <c r="Q71" s="315">
        <v>0</v>
      </c>
    </row>
    <row r="72" spans="1:17" x14ac:dyDescent="0.25">
      <c r="A72" s="313">
        <v>8</v>
      </c>
      <c r="B72" s="313" t="s">
        <v>251</v>
      </c>
      <c r="C72" s="315" t="e">
        <f t="shared" si="6"/>
        <v>#VALUE!</v>
      </c>
      <c r="D72" s="315">
        <v>0</v>
      </c>
      <c r="E72" s="315">
        <v>0</v>
      </c>
      <c r="F72" s="315">
        <v>0</v>
      </c>
      <c r="G72" s="315">
        <v>0</v>
      </c>
      <c r="H72" s="315">
        <v>0</v>
      </c>
      <c r="I72" s="315">
        <v>0</v>
      </c>
      <c r="J72" s="315">
        <v>0</v>
      </c>
      <c r="K72" s="315">
        <v>0</v>
      </c>
      <c r="L72" s="315">
        <v>0</v>
      </c>
      <c r="M72" s="315">
        <v>0</v>
      </c>
      <c r="N72" s="315">
        <v>0</v>
      </c>
      <c r="O72" s="315">
        <v>0</v>
      </c>
      <c r="P72" s="315">
        <v>0</v>
      </c>
      <c r="Q72" s="315">
        <v>0</v>
      </c>
    </row>
    <row r="73" spans="1:17" x14ac:dyDescent="0.25">
      <c r="A73" s="318"/>
      <c r="B73" s="321"/>
      <c r="C73" s="314"/>
      <c r="D73" s="314"/>
      <c r="E73" s="314"/>
      <c r="F73" s="314"/>
      <c r="G73" s="314"/>
      <c r="H73" s="314"/>
      <c r="I73" s="322"/>
      <c r="J73" s="322"/>
      <c r="K73" s="322"/>
      <c r="L73" s="322"/>
      <c r="M73" s="322"/>
      <c r="N73" s="322"/>
      <c r="O73" s="322"/>
      <c r="P73" s="322"/>
      <c r="Q73" s="322"/>
    </row>
    <row r="74" spans="1:17" x14ac:dyDescent="0.25">
      <c r="A74" s="309" t="s">
        <v>135</v>
      </c>
      <c r="B74" s="309" t="s">
        <v>86</v>
      </c>
      <c r="C74" s="323">
        <v>2021</v>
      </c>
      <c r="D74" s="323">
        <v>2022</v>
      </c>
      <c r="E74" s="323">
        <v>2023</v>
      </c>
      <c r="F74" s="323">
        <v>2024</v>
      </c>
      <c r="G74" s="323">
        <v>2025</v>
      </c>
      <c r="H74" s="323">
        <v>2026</v>
      </c>
      <c r="I74" s="323">
        <v>2027</v>
      </c>
      <c r="J74" s="323">
        <v>2028</v>
      </c>
      <c r="K74" s="323">
        <v>2029</v>
      </c>
      <c r="L74" s="323">
        <v>2030</v>
      </c>
      <c r="M74" s="323">
        <v>2031</v>
      </c>
      <c r="N74" s="323">
        <v>2032</v>
      </c>
      <c r="O74" s="323">
        <v>2033</v>
      </c>
      <c r="P74" s="323">
        <v>2034</v>
      </c>
      <c r="Q74" s="323">
        <v>2035</v>
      </c>
    </row>
    <row r="75" spans="1:17" x14ac:dyDescent="0.25">
      <c r="A75" s="318" t="s">
        <v>252</v>
      </c>
      <c r="B75" s="313" t="s">
        <v>253</v>
      </c>
      <c r="C75" s="319" t="e">
        <f>SUMPRODUCT(C77:C84,C86:C93)</f>
        <v>#VALUE!</v>
      </c>
      <c r="D75" s="319">
        <v>29.043822226885418</v>
      </c>
      <c r="E75" s="319">
        <v>34.773728850826373</v>
      </c>
      <c r="F75" s="319">
        <v>37.780004029491593</v>
      </c>
      <c r="G75" s="319">
        <v>43.709935137953202</v>
      </c>
      <c r="H75" s="319">
        <v>48.721731146788024</v>
      </c>
      <c r="I75" s="319">
        <v>52.522755428066986</v>
      </c>
      <c r="J75" s="319">
        <v>57.659169851269112</v>
      </c>
      <c r="K75" s="319">
        <v>62.84540854555744</v>
      </c>
      <c r="L75" s="319">
        <v>68.092557750398612</v>
      </c>
      <c r="M75" s="319">
        <v>74.401727755651024</v>
      </c>
      <c r="N75" s="319">
        <v>80.562831259373667</v>
      </c>
      <c r="O75" s="319">
        <v>87.212537132646332</v>
      </c>
      <c r="P75" s="319">
        <v>94.25975300880377</v>
      </c>
      <c r="Q75" s="319">
        <v>101.82000097649103</v>
      </c>
    </row>
    <row r="76" spans="1:17" x14ac:dyDescent="0.25">
      <c r="A76" s="318" t="s">
        <v>254</v>
      </c>
      <c r="B76" s="313" t="s">
        <v>1068</v>
      </c>
      <c r="C76" s="315" t="e">
        <f>SUM(C77:C84)</f>
        <v>#VALUE!</v>
      </c>
      <c r="D76" s="315">
        <v>1.5078043478260872</v>
      </c>
      <c r="E76" s="315">
        <v>1.5513278260869567</v>
      </c>
      <c r="F76" s="315">
        <v>1.5948513043478263</v>
      </c>
      <c r="G76" s="315">
        <v>1.6384121739130433</v>
      </c>
      <c r="H76" s="315">
        <v>1.6819356521739133</v>
      </c>
      <c r="I76" s="315">
        <v>1.7254591304347828</v>
      </c>
      <c r="J76" s="315">
        <v>1.7689826086956524</v>
      </c>
      <c r="K76" s="315">
        <v>1.8125434782608696</v>
      </c>
      <c r="L76" s="315">
        <v>1.8560669565217394</v>
      </c>
      <c r="M76" s="315">
        <v>1.8995904347826087</v>
      </c>
      <c r="N76" s="315">
        <v>1.9431513043478263</v>
      </c>
      <c r="O76" s="315">
        <v>1.9866747826086955</v>
      </c>
      <c r="P76" s="315">
        <v>2.0301982608695655</v>
      </c>
      <c r="Q76" s="315">
        <v>2.0737591304347829</v>
      </c>
    </row>
    <row r="77" spans="1:17" x14ac:dyDescent="0.25">
      <c r="A77" s="313">
        <v>1</v>
      </c>
      <c r="B77" s="313" t="s">
        <v>1068</v>
      </c>
      <c r="C77" s="315" t="e">
        <f t="shared" ref="C77:C84" si="7">C65/C$7</f>
        <v>#VALUE!</v>
      </c>
      <c r="D77" s="315">
        <v>5.2597826086956526E-2</v>
      </c>
      <c r="E77" s="315">
        <v>5.4116086956521738E-2</v>
      </c>
      <c r="F77" s="315">
        <v>5.5634347826086956E-2</v>
      </c>
      <c r="G77" s="315">
        <v>5.7153913043478263E-2</v>
      </c>
      <c r="H77" s="315">
        <v>5.8672173913043489E-2</v>
      </c>
      <c r="I77" s="315">
        <v>6.0190434782608701E-2</v>
      </c>
      <c r="J77" s="315">
        <v>6.170869565217392E-2</v>
      </c>
      <c r="K77" s="315">
        <v>6.322826086956522E-2</v>
      </c>
      <c r="L77" s="315">
        <v>6.4746521739130439E-2</v>
      </c>
      <c r="M77" s="315">
        <v>6.6264782608695658E-2</v>
      </c>
      <c r="N77" s="315">
        <v>6.7784347826086971E-2</v>
      </c>
      <c r="O77" s="315">
        <v>6.9302608695652176E-2</v>
      </c>
      <c r="P77" s="315">
        <v>7.0820869565217381E-2</v>
      </c>
      <c r="Q77" s="315">
        <v>7.2340434782608695E-2</v>
      </c>
    </row>
    <row r="78" spans="1:17" x14ac:dyDescent="0.25">
      <c r="A78" s="313">
        <v>2</v>
      </c>
      <c r="B78" s="313" t="s">
        <v>1068</v>
      </c>
      <c r="C78" s="315" t="e">
        <f t="shared" si="7"/>
        <v>#VALUE!</v>
      </c>
      <c r="D78" s="315">
        <v>0.15779347826086959</v>
      </c>
      <c r="E78" s="315">
        <v>0.16234826086956522</v>
      </c>
      <c r="F78" s="315">
        <v>0.1669030434782609</v>
      </c>
      <c r="G78" s="315">
        <v>0.1714617391304348</v>
      </c>
      <c r="H78" s="315">
        <v>0.17601652173913046</v>
      </c>
      <c r="I78" s="315">
        <v>0.18057130434782614</v>
      </c>
      <c r="J78" s="315">
        <v>0.18512608695652175</v>
      </c>
      <c r="K78" s="315">
        <v>0.18968478260869567</v>
      </c>
      <c r="L78" s="315">
        <v>0.19423956521739133</v>
      </c>
      <c r="M78" s="315">
        <v>0.19879434782608696</v>
      </c>
      <c r="N78" s="315">
        <v>0.20335304347826091</v>
      </c>
      <c r="O78" s="315">
        <v>0.20790782608695652</v>
      </c>
      <c r="P78" s="315">
        <v>0.21246260869565217</v>
      </c>
      <c r="Q78" s="315">
        <v>0.2170213043478261</v>
      </c>
    </row>
    <row r="79" spans="1:17" x14ac:dyDescent="0.25">
      <c r="A79" s="313">
        <v>3</v>
      </c>
      <c r="B79" s="313" t="s">
        <v>1068</v>
      </c>
      <c r="C79" s="315" t="e">
        <f t="shared" si="7"/>
        <v>#VALUE!</v>
      </c>
      <c r="D79" s="315">
        <v>0.4207826086956522</v>
      </c>
      <c r="E79" s="315">
        <v>0.4329286956521739</v>
      </c>
      <c r="F79" s="315">
        <v>0.44507478260869565</v>
      </c>
      <c r="G79" s="315">
        <v>0.45723130434782611</v>
      </c>
      <c r="H79" s="315">
        <v>0.46937739130434791</v>
      </c>
      <c r="I79" s="315">
        <v>0.48152347826086961</v>
      </c>
      <c r="J79" s="315">
        <v>0.49366956521739136</v>
      </c>
      <c r="K79" s="315">
        <v>0.50582608695652176</v>
      </c>
      <c r="L79" s="315">
        <v>0.51797217391304351</v>
      </c>
      <c r="M79" s="315">
        <v>0.53011826086956526</v>
      </c>
      <c r="N79" s="315">
        <v>0.54227478260869577</v>
      </c>
      <c r="O79" s="315">
        <v>0.55442086956521741</v>
      </c>
      <c r="P79" s="315">
        <v>0.56656695652173905</v>
      </c>
      <c r="Q79" s="315">
        <v>0.57872347826086956</v>
      </c>
    </row>
    <row r="80" spans="1:17" x14ac:dyDescent="0.25">
      <c r="A80" s="313">
        <v>4</v>
      </c>
      <c r="B80" s="313" t="s">
        <v>1068</v>
      </c>
      <c r="C80" s="315" t="e">
        <f t="shared" si="7"/>
        <v>#VALUE!</v>
      </c>
      <c r="D80" s="315">
        <v>0.87663043478260871</v>
      </c>
      <c r="E80" s="315">
        <v>0.90193478260869575</v>
      </c>
      <c r="F80" s="315">
        <v>0.92723913043478268</v>
      </c>
      <c r="G80" s="315">
        <v>0.95256521739130429</v>
      </c>
      <c r="H80" s="315">
        <v>0.97786956521739132</v>
      </c>
      <c r="I80" s="315">
        <v>1.0031739130434785</v>
      </c>
      <c r="J80" s="315">
        <v>1.0284782608695653</v>
      </c>
      <c r="K80" s="315">
        <v>1.053804347826087</v>
      </c>
      <c r="L80" s="315">
        <v>1.079108695652174</v>
      </c>
      <c r="M80" s="315">
        <v>1.1044130434782609</v>
      </c>
      <c r="N80" s="315">
        <v>1.1297391304347828</v>
      </c>
      <c r="O80" s="315">
        <v>1.1550434782608694</v>
      </c>
      <c r="P80" s="315">
        <v>1.1803478260869567</v>
      </c>
      <c r="Q80" s="315">
        <v>1.2056739130434784</v>
      </c>
    </row>
    <row r="81" spans="1:17" x14ac:dyDescent="0.25">
      <c r="A81" s="313">
        <v>5</v>
      </c>
      <c r="B81" s="313" t="s">
        <v>1068</v>
      </c>
      <c r="C81" s="315" t="e">
        <f t="shared" si="7"/>
        <v>#VALUE!</v>
      </c>
      <c r="D81" s="315">
        <v>0</v>
      </c>
      <c r="E81" s="315">
        <v>0</v>
      </c>
      <c r="F81" s="315">
        <v>0</v>
      </c>
      <c r="G81" s="315">
        <v>0</v>
      </c>
      <c r="H81" s="315">
        <v>0</v>
      </c>
      <c r="I81" s="315">
        <v>0</v>
      </c>
      <c r="J81" s="315">
        <v>0</v>
      </c>
      <c r="K81" s="315">
        <v>0</v>
      </c>
      <c r="L81" s="315">
        <v>0</v>
      </c>
      <c r="M81" s="315">
        <v>0</v>
      </c>
      <c r="N81" s="315">
        <v>0</v>
      </c>
      <c r="O81" s="315">
        <v>0</v>
      </c>
      <c r="P81" s="315">
        <v>0</v>
      </c>
      <c r="Q81" s="315">
        <v>0</v>
      </c>
    </row>
    <row r="82" spans="1:17" x14ac:dyDescent="0.25">
      <c r="A82" s="313">
        <v>6</v>
      </c>
      <c r="B82" s="313" t="s">
        <v>1068</v>
      </c>
      <c r="C82" s="315" t="e">
        <f t="shared" si="7"/>
        <v>#VALUE!</v>
      </c>
      <c r="D82" s="315">
        <v>0</v>
      </c>
      <c r="E82" s="315">
        <v>0</v>
      </c>
      <c r="F82" s="315">
        <v>0</v>
      </c>
      <c r="G82" s="315">
        <v>0</v>
      </c>
      <c r="H82" s="315">
        <v>0</v>
      </c>
      <c r="I82" s="315">
        <v>0</v>
      </c>
      <c r="J82" s="315">
        <v>0</v>
      </c>
      <c r="K82" s="315">
        <v>0</v>
      </c>
      <c r="L82" s="315">
        <v>0</v>
      </c>
      <c r="M82" s="315">
        <v>0</v>
      </c>
      <c r="N82" s="315">
        <v>0</v>
      </c>
      <c r="O82" s="315">
        <v>0</v>
      </c>
      <c r="P82" s="315">
        <v>0</v>
      </c>
      <c r="Q82" s="315">
        <v>0</v>
      </c>
    </row>
    <row r="83" spans="1:17" x14ac:dyDescent="0.25">
      <c r="A83" s="313">
        <v>7</v>
      </c>
      <c r="B83" s="313" t="s">
        <v>1068</v>
      </c>
      <c r="C83" s="315" t="e">
        <f t="shared" si="7"/>
        <v>#VALUE!</v>
      </c>
      <c r="D83" s="315">
        <v>0</v>
      </c>
      <c r="E83" s="315">
        <v>0</v>
      </c>
      <c r="F83" s="315">
        <v>0</v>
      </c>
      <c r="G83" s="315">
        <v>0</v>
      </c>
      <c r="H83" s="315">
        <v>0</v>
      </c>
      <c r="I83" s="315">
        <v>0</v>
      </c>
      <c r="J83" s="315">
        <v>0</v>
      </c>
      <c r="K83" s="315">
        <v>0</v>
      </c>
      <c r="L83" s="315">
        <v>0</v>
      </c>
      <c r="M83" s="315">
        <v>0</v>
      </c>
      <c r="N83" s="315">
        <v>0</v>
      </c>
      <c r="O83" s="315">
        <v>0</v>
      </c>
      <c r="P83" s="315">
        <v>0</v>
      </c>
      <c r="Q83" s="315">
        <v>0</v>
      </c>
    </row>
    <row r="84" spans="1:17" x14ac:dyDescent="0.25">
      <c r="A84" s="313">
        <v>8</v>
      </c>
      <c r="B84" s="313" t="s">
        <v>1068</v>
      </c>
      <c r="C84" s="315" t="e">
        <f t="shared" si="7"/>
        <v>#VALUE!</v>
      </c>
      <c r="D84" s="315">
        <v>0</v>
      </c>
      <c r="E84" s="315">
        <v>0</v>
      </c>
      <c r="F84" s="315">
        <v>0</v>
      </c>
      <c r="G84" s="315">
        <v>0</v>
      </c>
      <c r="H84" s="315">
        <v>0</v>
      </c>
      <c r="I84" s="315">
        <v>0</v>
      </c>
      <c r="J84" s="315">
        <v>0</v>
      </c>
      <c r="K84" s="315">
        <v>0</v>
      </c>
      <c r="L84" s="315">
        <v>0</v>
      </c>
      <c r="M84" s="315">
        <v>0</v>
      </c>
      <c r="N84" s="315">
        <v>0</v>
      </c>
      <c r="O84" s="315">
        <v>0</v>
      </c>
      <c r="P84" s="315">
        <v>0</v>
      </c>
      <c r="Q84" s="315">
        <v>0</v>
      </c>
    </row>
    <row r="85" spans="1:17" x14ac:dyDescent="0.25">
      <c r="A85" s="318" t="s">
        <v>255</v>
      </c>
      <c r="B85" s="313" t="s">
        <v>233</v>
      </c>
      <c r="C85" s="315" t="e">
        <f t="shared" ref="C85" si="8">SUM(C86:C93)</f>
        <v>#VALUE!</v>
      </c>
      <c r="D85" s="315">
        <v>118.2935651059519</v>
      </c>
      <c r="E85" s="315">
        <v>132.5558675534574</v>
      </c>
      <c r="F85" s="315">
        <v>138.72129815166159</v>
      </c>
      <c r="G85" s="315">
        <v>151.77844814765319</v>
      </c>
      <c r="H85" s="315">
        <v>162.06278921058646</v>
      </c>
      <c r="I85" s="315">
        <v>169.01407928520382</v>
      </c>
      <c r="J85" s="315">
        <v>178.71959575755292</v>
      </c>
      <c r="K85" s="315">
        <v>188.14328781306224</v>
      </c>
      <c r="L85" s="315">
        <v>197.33663326745199</v>
      </c>
      <c r="M85" s="315">
        <v>208.32211840626763</v>
      </c>
      <c r="N85" s="315">
        <v>218.57738953297076</v>
      </c>
      <c r="O85" s="315">
        <v>229.44033592485778</v>
      </c>
      <c r="P85" s="315">
        <v>240.69145856854885</v>
      </c>
      <c r="Q85" s="315">
        <v>252.52755822575958</v>
      </c>
    </row>
    <row r="86" spans="1:17" x14ac:dyDescent="0.25">
      <c r="A86" s="313">
        <v>1</v>
      </c>
      <c r="B86" s="313" t="s">
        <v>233</v>
      </c>
      <c r="C86" s="315" t="e">
        <f t="shared" ref="C86:C93" si="9">IF(-C$8+C56&lt;0,C$8-C56,0)</f>
        <v>#VALUE!</v>
      </c>
      <c r="D86" s="315">
        <v>44.63143431824259</v>
      </c>
      <c r="E86" s="315">
        <v>48.79933165178916</v>
      </c>
      <c r="F86" s="315">
        <v>50.732198420425817</v>
      </c>
      <c r="G86" s="315">
        <v>54.397782766486472</v>
      </c>
      <c r="H86" s="315">
        <v>57.38019730045913</v>
      </c>
      <c r="I86" s="315">
        <v>59.505903319063151</v>
      </c>
      <c r="J86" s="315">
        <v>62.329087257598957</v>
      </c>
      <c r="K86" s="315">
        <v>65.090941602795127</v>
      </c>
      <c r="L86" s="315">
        <v>67.804545718331752</v>
      </c>
      <c r="M86" s="315">
        <v>70.938795138466503</v>
      </c>
      <c r="N86" s="315">
        <v>73.898636496417168</v>
      </c>
      <c r="O86" s="315">
        <v>77.018713165765575</v>
      </c>
      <c r="P86" s="315">
        <v>80.244325039563918</v>
      </c>
      <c r="Q86" s="315">
        <v>83.624850622212563</v>
      </c>
    </row>
    <row r="87" spans="1:17" x14ac:dyDescent="0.25">
      <c r="A87" s="313">
        <v>2</v>
      </c>
      <c r="B87" s="313" t="s">
        <v>233</v>
      </c>
      <c r="C87" s="315" t="e">
        <f t="shared" si="9"/>
        <v>#VALUE!</v>
      </c>
      <c r="D87" s="315">
        <v>35.708149552758371</v>
      </c>
      <c r="E87" s="315">
        <v>39.519115495685568</v>
      </c>
      <c r="F87" s="315">
        <v>41.219976860419642</v>
      </c>
      <c r="G87" s="315">
        <v>44.647755667480155</v>
      </c>
      <c r="H87" s="315">
        <v>47.386419523977644</v>
      </c>
      <c r="I87" s="315">
        <v>49.282268653722596</v>
      </c>
      <c r="J87" s="315">
        <v>51.870308994955565</v>
      </c>
      <c r="K87" s="315">
        <v>54.391611440110943</v>
      </c>
      <c r="L87" s="315">
        <v>56.859130961905834</v>
      </c>
      <c r="M87" s="315">
        <v>59.763526672155635</v>
      </c>
      <c r="N87" s="315">
        <v>62.488687392313786</v>
      </c>
      <c r="O87" s="315">
        <v>65.369155130476031</v>
      </c>
      <c r="P87" s="315">
        <v>68.350126285533293</v>
      </c>
      <c r="Q87" s="315">
        <v>71.480873694347295</v>
      </c>
    </row>
    <row r="88" spans="1:17" x14ac:dyDescent="0.25">
      <c r="A88" s="313">
        <v>3</v>
      </c>
      <c r="B88" s="313" t="s">
        <v>233</v>
      </c>
      <c r="C88" s="315" t="e">
        <f t="shared" si="9"/>
        <v>#VALUE!</v>
      </c>
      <c r="D88" s="315">
        <v>26.784864787274152</v>
      </c>
      <c r="E88" s="315">
        <v>30.238899339581984</v>
      </c>
      <c r="F88" s="315">
        <v>31.707755300413467</v>
      </c>
      <c r="G88" s="315">
        <v>34.897728568473809</v>
      </c>
      <c r="H88" s="315">
        <v>37.39264174749615</v>
      </c>
      <c r="I88" s="315">
        <v>39.058633988382027</v>
      </c>
      <c r="J88" s="315">
        <v>41.41153073231218</v>
      </c>
      <c r="K88" s="315">
        <v>43.692281277426744</v>
      </c>
      <c r="L88" s="315">
        <v>45.913716205479894</v>
      </c>
      <c r="M88" s="315">
        <v>48.588258205844753</v>
      </c>
      <c r="N88" s="315">
        <v>51.078738288210374</v>
      </c>
      <c r="O88" s="315">
        <v>53.719597095186444</v>
      </c>
      <c r="P88" s="315">
        <v>56.455927531502617</v>
      </c>
      <c r="Q88" s="315">
        <v>59.336896766481985</v>
      </c>
    </row>
    <row r="89" spans="1:17" x14ac:dyDescent="0.25">
      <c r="A89" s="313">
        <v>4</v>
      </c>
      <c r="B89" s="313" t="s">
        <v>233</v>
      </c>
      <c r="C89" s="315" t="e">
        <f t="shared" si="9"/>
        <v>#VALUE!</v>
      </c>
      <c r="D89" s="315">
        <v>11.169116447676778</v>
      </c>
      <c r="E89" s="315">
        <v>13.998521066400698</v>
      </c>
      <c r="F89" s="315">
        <v>15.061367570402659</v>
      </c>
      <c r="G89" s="315">
        <v>17.835181145212744</v>
      </c>
      <c r="H89" s="315">
        <v>19.90353063865355</v>
      </c>
      <c r="I89" s="315">
        <v>21.167273324036053</v>
      </c>
      <c r="J89" s="315">
        <v>23.108668772686222</v>
      </c>
      <c r="K89" s="315">
        <v>24.968453492729424</v>
      </c>
      <c r="L89" s="315">
        <v>26.759240381734529</v>
      </c>
      <c r="M89" s="315">
        <v>29.031538389800744</v>
      </c>
      <c r="N89" s="315">
        <v>31.111327356029449</v>
      </c>
      <c r="O89" s="315">
        <v>33.332870533429727</v>
      </c>
      <c r="P89" s="315">
        <v>35.641079711949004</v>
      </c>
      <c r="Q89" s="315">
        <v>38.084937142717735</v>
      </c>
    </row>
    <row r="90" spans="1:17" x14ac:dyDescent="0.25">
      <c r="A90" s="313">
        <v>5</v>
      </c>
      <c r="B90" s="313" t="s">
        <v>233</v>
      </c>
      <c r="C90" s="315" t="e">
        <f t="shared" si="9"/>
        <v>#VALUE!</v>
      </c>
      <c r="D90" s="315">
        <v>0</v>
      </c>
      <c r="E90" s="315">
        <v>0</v>
      </c>
      <c r="F90" s="315">
        <v>0</v>
      </c>
      <c r="G90" s="315">
        <v>0</v>
      </c>
      <c r="H90" s="315">
        <v>0</v>
      </c>
      <c r="I90" s="315">
        <v>0</v>
      </c>
      <c r="J90" s="315">
        <v>0</v>
      </c>
      <c r="K90" s="315">
        <v>0</v>
      </c>
      <c r="L90" s="315">
        <v>0</v>
      </c>
      <c r="M90" s="315">
        <v>0</v>
      </c>
      <c r="N90" s="315">
        <v>0</v>
      </c>
      <c r="O90" s="315">
        <v>0</v>
      </c>
      <c r="P90" s="315">
        <v>0</v>
      </c>
      <c r="Q90" s="315">
        <v>0</v>
      </c>
    </row>
    <row r="91" spans="1:17" x14ac:dyDescent="0.25">
      <c r="A91" s="313">
        <v>6</v>
      </c>
      <c r="B91" s="313" t="s">
        <v>233</v>
      </c>
      <c r="C91" s="315" t="e">
        <f t="shared" si="9"/>
        <v>#VALUE!</v>
      </c>
      <c r="D91" s="315">
        <v>0</v>
      </c>
      <c r="E91" s="315">
        <v>0</v>
      </c>
      <c r="F91" s="315">
        <v>0</v>
      </c>
      <c r="G91" s="315">
        <v>0</v>
      </c>
      <c r="H91" s="315">
        <v>0</v>
      </c>
      <c r="I91" s="315">
        <v>0</v>
      </c>
      <c r="J91" s="315">
        <v>0</v>
      </c>
      <c r="K91" s="315">
        <v>0</v>
      </c>
      <c r="L91" s="315">
        <v>0</v>
      </c>
      <c r="M91" s="315">
        <v>0</v>
      </c>
      <c r="N91" s="315">
        <v>0</v>
      </c>
      <c r="O91" s="315">
        <v>0</v>
      </c>
      <c r="P91" s="315">
        <v>0</v>
      </c>
      <c r="Q91" s="315">
        <v>0</v>
      </c>
    </row>
    <row r="92" spans="1:17" x14ac:dyDescent="0.25">
      <c r="A92" s="313">
        <v>7</v>
      </c>
      <c r="B92" s="313" t="s">
        <v>233</v>
      </c>
      <c r="C92" s="315" t="e">
        <f t="shared" si="9"/>
        <v>#VALUE!</v>
      </c>
      <c r="D92" s="315">
        <v>0</v>
      </c>
      <c r="E92" s="315">
        <v>0</v>
      </c>
      <c r="F92" s="315">
        <v>0</v>
      </c>
      <c r="G92" s="315">
        <v>0</v>
      </c>
      <c r="H92" s="315">
        <v>0</v>
      </c>
      <c r="I92" s="315">
        <v>0</v>
      </c>
      <c r="J92" s="315">
        <v>0</v>
      </c>
      <c r="K92" s="315">
        <v>0</v>
      </c>
      <c r="L92" s="315">
        <v>0</v>
      </c>
      <c r="M92" s="315">
        <v>0</v>
      </c>
      <c r="N92" s="315">
        <v>0</v>
      </c>
      <c r="O92" s="315">
        <v>0</v>
      </c>
      <c r="P92" s="315">
        <v>0</v>
      </c>
      <c r="Q92" s="315">
        <v>0</v>
      </c>
    </row>
    <row r="93" spans="1:17" x14ac:dyDescent="0.25">
      <c r="A93" s="313">
        <v>8</v>
      </c>
      <c r="B93" s="313" t="s">
        <v>233</v>
      </c>
      <c r="C93" s="315" t="e">
        <f t="shared" si="9"/>
        <v>#VALUE!</v>
      </c>
      <c r="D93" s="315">
        <v>0</v>
      </c>
      <c r="E93" s="315">
        <v>0</v>
      </c>
      <c r="F93" s="315">
        <v>0</v>
      </c>
      <c r="G93" s="315">
        <v>0</v>
      </c>
      <c r="H93" s="315">
        <v>0</v>
      </c>
      <c r="I93" s="315">
        <v>0</v>
      </c>
      <c r="J93" s="315">
        <v>0</v>
      </c>
      <c r="K93" s="315">
        <v>0</v>
      </c>
      <c r="L93" s="315">
        <v>0</v>
      </c>
      <c r="M93" s="315">
        <v>0</v>
      </c>
      <c r="N93" s="315">
        <v>0</v>
      </c>
      <c r="O93" s="315">
        <v>0</v>
      </c>
      <c r="P93" s="315">
        <v>0</v>
      </c>
      <c r="Q93" s="315">
        <v>0</v>
      </c>
    </row>
    <row r="94" spans="1:17" x14ac:dyDescent="0.25"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  <c r="N94" s="324"/>
      <c r="O94" s="324"/>
      <c r="P94" s="324"/>
      <c r="Q94" s="324"/>
    </row>
    <row r="95" spans="1:17" x14ac:dyDescent="0.25">
      <c r="A95" s="325" t="s">
        <v>135</v>
      </c>
      <c r="B95" s="325" t="s">
        <v>86</v>
      </c>
      <c r="C95" s="323">
        <v>2021</v>
      </c>
      <c r="D95" s="323">
        <v>2022</v>
      </c>
      <c r="E95" s="323">
        <v>2023</v>
      </c>
      <c r="F95" s="323">
        <v>2024</v>
      </c>
      <c r="G95" s="323">
        <v>2025</v>
      </c>
      <c r="H95" s="323">
        <v>2026</v>
      </c>
      <c r="I95" s="323">
        <v>2027</v>
      </c>
      <c r="J95" s="323">
        <v>2028</v>
      </c>
      <c r="K95" s="323">
        <v>2029</v>
      </c>
      <c r="L95" s="323">
        <v>2030</v>
      </c>
      <c r="M95" s="323">
        <v>2031</v>
      </c>
      <c r="N95" s="323">
        <v>2032</v>
      </c>
      <c r="O95" s="323">
        <v>2033</v>
      </c>
      <c r="P95" s="323">
        <v>2034</v>
      </c>
      <c r="Q95" s="323">
        <v>2035</v>
      </c>
    </row>
    <row r="96" spans="1:17" ht="25.5" x14ac:dyDescent="0.25">
      <c r="A96" s="326" t="s">
        <v>230</v>
      </c>
      <c r="B96" s="327" t="s">
        <v>122</v>
      </c>
      <c r="C96" s="328" t="e">
        <f>C64/C19</f>
        <v>#VALUE!</v>
      </c>
      <c r="D96" s="328">
        <v>8.5999999999999993E-2</v>
      </c>
      <c r="E96" s="328">
        <v>8.5999999999999993E-2</v>
      </c>
      <c r="F96" s="328">
        <v>8.5999999999999993E-2</v>
      </c>
      <c r="G96" s="328">
        <v>8.5999999999999993E-2</v>
      </c>
      <c r="H96" s="328">
        <v>8.6000000000000007E-2</v>
      </c>
      <c r="I96" s="328">
        <v>8.6000000000000007E-2</v>
      </c>
      <c r="J96" s="328">
        <v>8.5999999999999979E-2</v>
      </c>
      <c r="K96" s="328">
        <v>8.5999999999999979E-2</v>
      </c>
      <c r="L96" s="328">
        <v>8.5999999999999993E-2</v>
      </c>
      <c r="M96" s="328">
        <v>8.5999999999999979E-2</v>
      </c>
      <c r="N96" s="328">
        <v>8.6000000000000007E-2</v>
      </c>
      <c r="O96" s="328">
        <v>8.5999999999999979E-2</v>
      </c>
      <c r="P96" s="328">
        <v>8.5999999999999993E-2</v>
      </c>
      <c r="Q96" s="328">
        <v>8.5999999999999993E-2</v>
      </c>
    </row>
    <row r="97" spans="1:17" x14ac:dyDescent="0.25">
      <c r="A97" s="326" t="s">
        <v>232</v>
      </c>
      <c r="B97" s="327" t="s">
        <v>233</v>
      </c>
      <c r="C97" s="329" t="e">
        <f>C98*C101</f>
        <v>#VALUE!</v>
      </c>
      <c r="D97" s="329">
        <v>67.910873749142425</v>
      </c>
      <c r="E97" s="329">
        <v>73.217134743474276</v>
      </c>
      <c r="F97" s="329">
        <v>75.82243645699802</v>
      </c>
      <c r="G97" s="329">
        <v>80.323735830977341</v>
      </c>
      <c r="H97" s="329">
        <v>84.095383536328384</v>
      </c>
      <c r="I97" s="329">
        <v>86.905622445374206</v>
      </c>
      <c r="J97" s="329">
        <v>90.485482372701895</v>
      </c>
      <c r="K97" s="329">
        <v>94.010436878438597</v>
      </c>
      <c r="L97" s="329">
        <v>97.494973077373487</v>
      </c>
      <c r="M97" s="329">
        <v>101.4014479033568</v>
      </c>
      <c r="N97" s="329">
        <v>105.12884207024344</v>
      </c>
      <c r="O97" s="329">
        <v>109.04111873515731</v>
      </c>
      <c r="P97" s="329">
        <v>113.07904624741872</v>
      </c>
      <c r="Q97" s="329">
        <v>117.29652660645996</v>
      </c>
    </row>
    <row r="98" spans="1:17" x14ac:dyDescent="0.25">
      <c r="A98" s="326" t="s">
        <v>235</v>
      </c>
      <c r="B98" s="327" t="s">
        <v>233</v>
      </c>
      <c r="C98" s="329" t="e">
        <f>C99/C100</f>
        <v>#VALUE!</v>
      </c>
      <c r="D98" s="329">
        <v>27.164349499656971</v>
      </c>
      <c r="E98" s="329">
        <v>29.286853897389712</v>
      </c>
      <c r="F98" s="329">
        <v>30.328974582799205</v>
      </c>
      <c r="G98" s="329">
        <v>32.129494332390934</v>
      </c>
      <c r="H98" s="329">
        <v>33.638153414531352</v>
      </c>
      <c r="I98" s="329">
        <v>34.762248978149685</v>
      </c>
      <c r="J98" s="329">
        <v>36.194192949080758</v>
      </c>
      <c r="K98" s="329">
        <v>37.604174751375439</v>
      </c>
      <c r="L98" s="329">
        <v>38.997989230949393</v>
      </c>
      <c r="M98" s="329">
        <v>40.560579161342716</v>
      </c>
      <c r="N98" s="329">
        <v>42.051536828097376</v>
      </c>
      <c r="O98" s="329">
        <v>43.616447494062925</v>
      </c>
      <c r="P98" s="329">
        <v>45.231618498967485</v>
      </c>
      <c r="Q98" s="329">
        <v>46.918610642583985</v>
      </c>
    </row>
    <row r="99" spans="1:17" x14ac:dyDescent="0.25">
      <c r="A99" s="326" t="s">
        <v>236</v>
      </c>
      <c r="B99" s="327" t="s">
        <v>233</v>
      </c>
      <c r="C99" s="329" t="e">
        <f>[8]Доступность!C165*12*[8]Доступность!C130/1000</f>
        <v>#VALUE!</v>
      </c>
      <c r="D99" s="329">
        <v>1095.4023935736675</v>
      </c>
      <c r="E99" s="329">
        <v>1215.0822813488016</v>
      </c>
      <c r="F99" s="329">
        <v>1293.6217528801344</v>
      </c>
      <c r="G99" s="329">
        <v>1407.850182656706</v>
      </c>
      <c r="H99" s="329">
        <v>1513.1114168924491</v>
      </c>
      <c r="I99" s="329">
        <v>1604.1387413456955</v>
      </c>
      <c r="J99" s="329">
        <v>1712.3472684210108</v>
      </c>
      <c r="K99" s="329">
        <v>1822.8623710729246</v>
      </c>
      <c r="L99" s="329">
        <v>1935.821187435097</v>
      </c>
      <c r="M99" s="329">
        <v>2060.5991031336939</v>
      </c>
      <c r="N99" s="329">
        <v>2185.3342658825645</v>
      </c>
      <c r="O99" s="329">
        <v>2317.4290882545511</v>
      </c>
      <c r="P99" s="329">
        <v>2455.8959580199385</v>
      </c>
      <c r="Q99" s="329">
        <v>2602.1530648483504</v>
      </c>
    </row>
    <row r="100" spans="1:17" x14ac:dyDescent="0.25">
      <c r="A100" s="326" t="s">
        <v>238</v>
      </c>
      <c r="B100" s="327" t="s">
        <v>88</v>
      </c>
      <c r="C100" s="329" t="str">
        <f>[8]Доступность!C130</f>
        <v>тыс. чел.</v>
      </c>
      <c r="D100" s="329">
        <v>40.325000000000003</v>
      </c>
      <c r="E100" s="329">
        <v>41.488999999999997</v>
      </c>
      <c r="F100" s="329">
        <v>42.652999999999999</v>
      </c>
      <c r="G100" s="329">
        <v>43.817999999999998</v>
      </c>
      <c r="H100" s="329">
        <v>44.981999999999999</v>
      </c>
      <c r="I100" s="329">
        <v>46.146000000000001</v>
      </c>
      <c r="J100" s="329">
        <v>47.31</v>
      </c>
      <c r="K100" s="329">
        <v>48.475000000000001</v>
      </c>
      <c r="L100" s="329">
        <v>49.639000000000003</v>
      </c>
      <c r="M100" s="329">
        <v>50.802999999999997</v>
      </c>
      <c r="N100" s="329">
        <v>51.968000000000004</v>
      </c>
      <c r="O100" s="329">
        <v>53.131999999999998</v>
      </c>
      <c r="P100" s="329">
        <v>54.295999999999999</v>
      </c>
      <c r="Q100" s="329">
        <v>55.460999999999999</v>
      </c>
    </row>
    <row r="101" spans="1:17" x14ac:dyDescent="0.25">
      <c r="A101" s="326" t="s">
        <v>240</v>
      </c>
      <c r="B101" s="327" t="s">
        <v>1069</v>
      </c>
      <c r="C101" s="330">
        <v>2.5</v>
      </c>
      <c r="D101" s="330">
        <v>2.5</v>
      </c>
      <c r="E101" s="330">
        <v>2.5</v>
      </c>
      <c r="F101" s="330">
        <v>2.5</v>
      </c>
      <c r="G101" s="330">
        <v>2.5</v>
      </c>
      <c r="H101" s="330">
        <v>2.5</v>
      </c>
      <c r="I101" s="330">
        <v>2.5</v>
      </c>
      <c r="J101" s="330">
        <v>2.5</v>
      </c>
      <c r="K101" s="330">
        <v>2.5</v>
      </c>
      <c r="L101" s="330">
        <v>2.5</v>
      </c>
      <c r="M101" s="330">
        <v>2.5</v>
      </c>
      <c r="N101" s="330">
        <v>2.5</v>
      </c>
      <c r="O101" s="330">
        <v>2.5</v>
      </c>
      <c r="P101" s="330">
        <v>2.5</v>
      </c>
      <c r="Q101" s="330">
        <v>2.5</v>
      </c>
    </row>
    <row r="102" spans="1:17" x14ac:dyDescent="0.25">
      <c r="A102" s="326" t="s">
        <v>242</v>
      </c>
      <c r="B102" s="327" t="s">
        <v>233</v>
      </c>
      <c r="C102" s="329" t="e">
        <f t="shared" ref="C102" si="10">C101*C98</f>
        <v>#VALUE!</v>
      </c>
      <c r="D102" s="329">
        <v>67.910873749142425</v>
      </c>
      <c r="E102" s="329">
        <v>73.217134743474276</v>
      </c>
      <c r="F102" s="329">
        <v>75.82243645699802</v>
      </c>
      <c r="G102" s="329">
        <v>80.323735830977341</v>
      </c>
      <c r="H102" s="329">
        <v>84.095383536328384</v>
      </c>
      <c r="I102" s="329">
        <v>86.905622445374206</v>
      </c>
      <c r="J102" s="329">
        <v>90.485482372701895</v>
      </c>
      <c r="K102" s="329">
        <v>94.010436878438597</v>
      </c>
      <c r="L102" s="329">
        <v>97.494973077373487</v>
      </c>
      <c r="M102" s="329">
        <v>101.4014479033568</v>
      </c>
      <c r="N102" s="329">
        <v>105.12884207024344</v>
      </c>
      <c r="O102" s="329">
        <v>109.04111873515731</v>
      </c>
      <c r="P102" s="329">
        <v>113.07904624741872</v>
      </c>
      <c r="Q102" s="329">
        <v>117.29652660645996</v>
      </c>
    </row>
    <row r="103" spans="1:17" x14ac:dyDescent="0.25">
      <c r="A103" s="326" t="s">
        <v>243</v>
      </c>
      <c r="B103" s="327" t="s">
        <v>1070</v>
      </c>
      <c r="C103" s="331">
        <v>16281</v>
      </c>
      <c r="D103" s="331">
        <v>18625</v>
      </c>
      <c r="E103" s="331">
        <v>19649</v>
      </c>
      <c r="F103" s="331">
        <v>20615.730799999998</v>
      </c>
      <c r="G103" s="331">
        <v>21441.184661232001</v>
      </c>
      <c r="H103" s="331">
        <v>22305.264403079651</v>
      </c>
      <c r="I103" s="331">
        <v>23191.898663102067</v>
      </c>
      <c r="J103" s="331">
        <v>24110.993607120799</v>
      </c>
      <c r="K103" s="331">
        <v>25064.583404282428</v>
      </c>
      <c r="L103" s="331">
        <v>26054.885094585625</v>
      </c>
      <c r="M103" s="331">
        <v>27085.355800076486</v>
      </c>
      <c r="N103" s="331">
        <v>28159.019303991514</v>
      </c>
      <c r="O103" s="331">
        <v>29276.93237035998</v>
      </c>
      <c r="P103" s="331">
        <v>30442.739817347712</v>
      </c>
      <c r="Q103" s="331">
        <v>31658.318418254406</v>
      </c>
    </row>
    <row r="104" spans="1:17" x14ac:dyDescent="0.25">
      <c r="A104" s="326" t="s">
        <v>1071</v>
      </c>
      <c r="B104" s="327" t="s">
        <v>233</v>
      </c>
      <c r="C104" s="329">
        <f t="shared" ref="C104" si="11">C103*12/1000</f>
        <v>195.37200000000001</v>
      </c>
      <c r="D104" s="329">
        <v>223.5</v>
      </c>
      <c r="E104" s="329">
        <v>235.78800000000001</v>
      </c>
      <c r="F104" s="329">
        <v>247.38876959999996</v>
      </c>
      <c r="G104" s="329">
        <v>257.29421593478401</v>
      </c>
      <c r="H104" s="329">
        <v>267.66317283695582</v>
      </c>
      <c r="I104" s="329">
        <v>278.30278395722479</v>
      </c>
      <c r="J104" s="329">
        <v>289.33192328544965</v>
      </c>
      <c r="K104" s="329">
        <v>300.77500085138911</v>
      </c>
      <c r="L104" s="329">
        <v>312.65862113502749</v>
      </c>
      <c r="M104" s="329">
        <v>325.02426960091782</v>
      </c>
      <c r="N104" s="329">
        <v>337.90823164789816</v>
      </c>
      <c r="O104" s="329">
        <v>351.32318844431978</v>
      </c>
      <c r="P104" s="329">
        <v>365.31287780817257</v>
      </c>
      <c r="Q104" s="329">
        <v>379.89982101905287</v>
      </c>
    </row>
    <row r="105" spans="1:17" x14ac:dyDescent="0.25">
      <c r="A105" s="327"/>
      <c r="B105" s="327"/>
      <c r="C105" s="332" t="e">
        <f>C98/C104*100</f>
        <v>#VALUE!</v>
      </c>
      <c r="D105" s="332">
        <v>12.154071364499764</v>
      </c>
      <c r="E105" s="332">
        <v>12.42084155995628</v>
      </c>
      <c r="F105" s="332">
        <v>12.259640820332214</v>
      </c>
      <c r="G105" s="332">
        <v>12.487453017806956</v>
      </c>
      <c r="H105" s="332">
        <v>12.567344643643477</v>
      </c>
      <c r="I105" s="332">
        <v>12.49080173897673</v>
      </c>
      <c r="J105" s="332">
        <v>12.509574656707418</v>
      </c>
      <c r="K105" s="332">
        <v>12.502426945368178</v>
      </c>
      <c r="L105" s="332">
        <v>12.473025400475805</v>
      </c>
      <c r="M105" s="332">
        <v>12.479246307097364</v>
      </c>
      <c r="N105" s="332">
        <v>12.444661860713492</v>
      </c>
      <c r="O105" s="332">
        <v>12.414907107953557</v>
      </c>
      <c r="P105" s="332">
        <v>12.381610736076709</v>
      </c>
      <c r="Q105" s="332">
        <v>12.350258685757819</v>
      </c>
    </row>
    <row r="106" spans="1:17" x14ac:dyDescent="0.25">
      <c r="A106" s="326" t="s">
        <v>1072</v>
      </c>
      <c r="B106" s="327" t="s">
        <v>256</v>
      </c>
      <c r="C106" s="332" t="e">
        <f>(C105-22)/22*C98*C108</f>
        <v>#VALUE!</v>
      </c>
      <c r="D106" s="332">
        <v>-38.537366362951083</v>
      </c>
      <c r="E106" s="332">
        <v>-40.425029943807395</v>
      </c>
      <c r="F106" s="332">
        <v>-42.659127354673558</v>
      </c>
      <c r="G106" s="332">
        <v>-44.314259236924315</v>
      </c>
      <c r="H106" s="332">
        <v>-46.270851029091311</v>
      </c>
      <c r="I106" s="332">
        <v>-48.557879622518143</v>
      </c>
      <c r="J106" s="332">
        <v>-50.897096117571174</v>
      </c>
      <c r="K106" s="332">
        <v>-53.44540527485789</v>
      </c>
      <c r="L106" s="332">
        <v>-56.208387867039256</v>
      </c>
      <c r="M106" s="332">
        <v>-59.117896586944894</v>
      </c>
      <c r="N106" s="332">
        <v>-62.296097375662683</v>
      </c>
      <c r="O106" s="332">
        <v>-65.682687293395631</v>
      </c>
      <c r="P106" s="332">
        <v>-69.304999119540994</v>
      </c>
      <c r="Q106" s="332">
        <v>-73.165681277173618</v>
      </c>
    </row>
    <row r="107" spans="1:17" x14ac:dyDescent="0.25">
      <c r="A107" s="326" t="s">
        <v>1073</v>
      </c>
      <c r="B107" s="327" t="s">
        <v>122</v>
      </c>
      <c r="C107" s="329">
        <f>8.4-(8.4-6.1)/8</f>
        <v>8.1125000000000007</v>
      </c>
      <c r="D107" s="329">
        <v>7.8609375000000004</v>
      </c>
      <c r="E107" s="329">
        <v>7.6408203125000007</v>
      </c>
      <c r="F107" s="329">
        <v>7.4482177734375004</v>
      </c>
      <c r="G107" s="329">
        <v>7.2796905517578132</v>
      </c>
      <c r="H107" s="329">
        <v>7.1322292327880863</v>
      </c>
      <c r="I107" s="329">
        <v>7.0032005786895759</v>
      </c>
      <c r="J107" s="329">
        <v>6.8903005063533787</v>
      </c>
      <c r="K107" s="329">
        <v>6.7915129430592067</v>
      </c>
      <c r="L107" s="329">
        <v>6.7050738251768056</v>
      </c>
      <c r="M107" s="329">
        <v>6.6294395970297053</v>
      </c>
      <c r="N107" s="329">
        <v>6.5632596474009919</v>
      </c>
      <c r="O107" s="329">
        <v>6.5053521914758683</v>
      </c>
      <c r="P107" s="329">
        <v>6.4546831675413845</v>
      </c>
      <c r="Q107" s="329">
        <v>6.4103477715987118</v>
      </c>
    </row>
    <row r="108" spans="1:17" x14ac:dyDescent="0.25">
      <c r="A108" s="326" t="s">
        <v>1074</v>
      </c>
      <c r="B108" s="327" t="s">
        <v>251</v>
      </c>
      <c r="C108" s="329" t="e">
        <f>C107/100*C100</f>
        <v>#VALUE!</v>
      </c>
      <c r="D108" s="329">
        <v>3.1699230468750006</v>
      </c>
      <c r="E108" s="329">
        <v>3.1700999394531251</v>
      </c>
      <c r="F108" s="329">
        <v>3.1768883269042969</v>
      </c>
      <c r="G108" s="329">
        <v>3.1898148059692382</v>
      </c>
      <c r="H108" s="329">
        <v>3.2082193534927366</v>
      </c>
      <c r="I108" s="329">
        <v>3.231696939042092</v>
      </c>
      <c r="J108" s="329">
        <v>3.259801169555784</v>
      </c>
      <c r="K108" s="329">
        <v>3.2921858991479507</v>
      </c>
      <c r="L108" s="329">
        <v>3.3283315960795146</v>
      </c>
      <c r="M108" s="329">
        <v>3.3679541984790013</v>
      </c>
      <c r="N108" s="329">
        <v>3.4107947735613475</v>
      </c>
      <c r="O108" s="329">
        <v>3.4564237263749584</v>
      </c>
      <c r="P108" s="329">
        <v>3.5046347726482705</v>
      </c>
      <c r="Q108" s="329">
        <v>3.5552429776063619</v>
      </c>
    </row>
    <row r="109" spans="1:17" hidden="1" x14ac:dyDescent="0.25">
      <c r="A109" s="326" t="s">
        <v>1075</v>
      </c>
      <c r="B109" s="327"/>
      <c r="C109" s="329"/>
      <c r="D109" s="329"/>
      <c r="E109" s="329"/>
      <c r="F109" s="329"/>
      <c r="G109" s="329"/>
      <c r="H109" s="329"/>
      <c r="I109" s="329"/>
      <c r="J109" s="329"/>
      <c r="K109" s="329"/>
      <c r="L109" s="329"/>
      <c r="M109" s="329"/>
      <c r="N109" s="329"/>
      <c r="O109" s="329"/>
      <c r="P109" s="329"/>
      <c r="Q109" s="329"/>
    </row>
    <row r="110" spans="1:17" hidden="1" x14ac:dyDescent="0.25">
      <c r="A110" s="326" t="s">
        <v>1076</v>
      </c>
      <c r="B110" s="327"/>
      <c r="C110" s="329"/>
      <c r="D110" s="329"/>
      <c r="E110" s="329"/>
      <c r="F110" s="329"/>
      <c r="G110" s="329"/>
      <c r="H110" s="329"/>
      <c r="I110" s="329"/>
      <c r="J110" s="329"/>
      <c r="K110" s="329"/>
      <c r="L110" s="329"/>
      <c r="M110" s="329"/>
      <c r="N110" s="329"/>
      <c r="O110" s="329"/>
      <c r="P110" s="329"/>
      <c r="Q110" s="329"/>
    </row>
    <row r="111" spans="1:17" ht="25.5" hidden="1" x14ac:dyDescent="0.25">
      <c r="A111" s="326" t="s">
        <v>1077</v>
      </c>
      <c r="B111" s="327"/>
      <c r="C111" s="329"/>
      <c r="D111" s="329"/>
      <c r="E111" s="329"/>
      <c r="F111" s="329"/>
      <c r="G111" s="329"/>
      <c r="H111" s="329"/>
      <c r="I111" s="329"/>
      <c r="J111" s="329"/>
      <c r="K111" s="329"/>
      <c r="L111" s="329"/>
      <c r="M111" s="329"/>
      <c r="N111" s="329"/>
      <c r="O111" s="329"/>
      <c r="P111" s="329"/>
      <c r="Q111" s="329"/>
    </row>
    <row r="112" spans="1:17" x14ac:dyDescent="0.25">
      <c r="C112" s="333"/>
      <c r="D112" s="333"/>
      <c r="E112" s="333"/>
      <c r="F112" s="333"/>
      <c r="G112" s="333"/>
      <c r="H112" s="333"/>
      <c r="I112" s="333"/>
      <c r="J112" s="333"/>
      <c r="K112" s="333"/>
      <c r="L112" s="333"/>
      <c r="M112" s="333"/>
      <c r="N112" s="333"/>
      <c r="O112" s="333"/>
      <c r="P112" s="333"/>
      <c r="Q112" s="333"/>
    </row>
    <row r="113" spans="1:17" x14ac:dyDescent="0.25">
      <c r="A113" s="327" t="s">
        <v>1078</v>
      </c>
      <c r="B113" s="171"/>
      <c r="C113" s="481" t="s">
        <v>1079</v>
      </c>
      <c r="D113" s="482"/>
      <c r="E113" s="334" t="s">
        <v>1080</v>
      </c>
      <c r="F113" s="483" t="s">
        <v>1081</v>
      </c>
      <c r="G113" s="483"/>
      <c r="H113" s="483"/>
      <c r="I113" s="483"/>
      <c r="J113" s="483"/>
      <c r="K113" s="483"/>
      <c r="L113" s="483"/>
      <c r="M113" s="483"/>
      <c r="N113" s="483"/>
      <c r="O113" s="483"/>
      <c r="P113" s="483"/>
      <c r="Q113" s="483"/>
    </row>
    <row r="114" spans="1:17" x14ac:dyDescent="0.25">
      <c r="A114" s="335" t="s">
        <v>135</v>
      </c>
      <c r="B114" s="335" t="s">
        <v>86</v>
      </c>
      <c r="C114" s="323">
        <v>2021</v>
      </c>
      <c r="D114" s="323">
        <v>2022</v>
      </c>
      <c r="E114" s="323">
        <v>2023</v>
      </c>
      <c r="F114" s="323">
        <v>2024</v>
      </c>
      <c r="G114" s="323">
        <v>2025</v>
      </c>
      <c r="H114" s="323">
        <v>2026</v>
      </c>
      <c r="I114" s="323">
        <v>2027</v>
      </c>
      <c r="J114" s="323">
        <v>2028</v>
      </c>
      <c r="K114" s="323">
        <v>2029</v>
      </c>
      <c r="L114" s="323">
        <v>2030</v>
      </c>
      <c r="M114" s="323">
        <v>2031</v>
      </c>
      <c r="N114" s="323">
        <v>2032</v>
      </c>
      <c r="O114" s="323">
        <v>2033</v>
      </c>
      <c r="P114" s="323">
        <v>2034</v>
      </c>
      <c r="Q114" s="323">
        <v>2035</v>
      </c>
    </row>
    <row r="115" spans="1:17" x14ac:dyDescent="0.25">
      <c r="A115" s="336" t="s">
        <v>1082</v>
      </c>
      <c r="B115" s="337"/>
      <c r="C115" s="338">
        <v>1.0669500000000001</v>
      </c>
      <c r="D115" s="338">
        <v>1.1376999999999999</v>
      </c>
      <c r="E115" s="338">
        <v>1.0524</v>
      </c>
      <c r="F115" s="338">
        <v>1.0491999999999999</v>
      </c>
      <c r="G115" s="338">
        <v>1.0400400000000001</v>
      </c>
      <c r="H115" s="338">
        <v>1.0403</v>
      </c>
      <c r="I115" s="338">
        <v>1.03975</v>
      </c>
      <c r="J115" s="338">
        <v>1.0396299999999998</v>
      </c>
      <c r="K115" s="338">
        <v>1.03955</v>
      </c>
      <c r="L115" s="338">
        <v>1.0395099999999999</v>
      </c>
      <c r="M115" s="338">
        <v>1.03955</v>
      </c>
      <c r="N115" s="338">
        <v>1.0396399999999999</v>
      </c>
      <c r="O115" s="338">
        <v>1.0397000000000001</v>
      </c>
      <c r="P115" s="338">
        <v>1.03982</v>
      </c>
      <c r="Q115" s="338">
        <v>1.03993</v>
      </c>
    </row>
    <row r="116" spans="1:17" ht="25.5" x14ac:dyDescent="0.25">
      <c r="A116" s="336" t="s">
        <v>1083</v>
      </c>
      <c r="B116" s="337"/>
      <c r="C116" s="338">
        <v>1.032</v>
      </c>
      <c r="D116" s="338">
        <v>1.0457799999999999</v>
      </c>
      <c r="E116" s="338">
        <v>1.0434969999999999</v>
      </c>
      <c r="F116" s="338">
        <v>1.04667</v>
      </c>
      <c r="G116" s="338">
        <v>1.0414966000000001</v>
      </c>
      <c r="H116" s="338">
        <v>1.0409900000000001</v>
      </c>
      <c r="I116" s="338">
        <v>1.04</v>
      </c>
      <c r="J116" s="338">
        <v>1.04</v>
      </c>
      <c r="K116" s="338">
        <v>1.04</v>
      </c>
      <c r="L116" s="338">
        <v>1.04</v>
      </c>
      <c r="M116" s="338">
        <v>1.04</v>
      </c>
      <c r="N116" s="338">
        <v>1.04</v>
      </c>
      <c r="O116" s="338">
        <v>1.04</v>
      </c>
      <c r="P116" s="338">
        <v>1.04</v>
      </c>
      <c r="Q116" s="338">
        <v>1.04</v>
      </c>
    </row>
    <row r="117" spans="1:17" x14ac:dyDescent="0.25">
      <c r="A117" s="336" t="s">
        <v>1084</v>
      </c>
      <c r="B117" s="337"/>
      <c r="C117" s="338">
        <v>1.0529999999999999</v>
      </c>
      <c r="D117" s="338">
        <v>1.05097</v>
      </c>
      <c r="E117" s="338">
        <v>1.0731409999999999</v>
      </c>
      <c r="F117" s="338">
        <v>1.04444</v>
      </c>
      <c r="G117" s="338">
        <v>1.0462499999999999</v>
      </c>
      <c r="H117" s="338">
        <v>1.0458769999999999</v>
      </c>
      <c r="I117" s="338">
        <v>1.0389999999999999</v>
      </c>
      <c r="J117" s="338">
        <v>1.0389999999999999</v>
      </c>
      <c r="K117" s="338">
        <v>1.0389999999999999</v>
      </c>
      <c r="L117" s="338">
        <v>1.0389999999999999</v>
      </c>
      <c r="M117" s="338">
        <v>1.0389999999999999</v>
      </c>
      <c r="N117" s="338">
        <v>1.0389999999999999</v>
      </c>
      <c r="O117" s="338">
        <v>1.0389999999999999</v>
      </c>
      <c r="P117" s="338">
        <v>1.0389999999999999</v>
      </c>
      <c r="Q117" s="338">
        <v>1.0389999999999999</v>
      </c>
    </row>
    <row r="118" spans="1:17" x14ac:dyDescent="0.25">
      <c r="A118" s="336" t="s">
        <v>1085</v>
      </c>
      <c r="B118" s="171"/>
      <c r="C118" s="338">
        <v>1.05</v>
      </c>
      <c r="D118" s="338">
        <v>1.05</v>
      </c>
      <c r="E118" s="338">
        <v>1.0900000000000001</v>
      </c>
      <c r="F118" s="338">
        <v>1.06</v>
      </c>
      <c r="G118" s="338">
        <v>1.05</v>
      </c>
      <c r="H118" s="338">
        <v>1.05</v>
      </c>
      <c r="I118" s="338">
        <v>1.05</v>
      </c>
      <c r="J118" s="338">
        <v>1.05</v>
      </c>
      <c r="K118" s="338">
        <v>1.05</v>
      </c>
      <c r="L118" s="338">
        <v>1.05</v>
      </c>
      <c r="M118" s="338">
        <v>1.05</v>
      </c>
      <c r="N118" s="338">
        <v>1.05</v>
      </c>
      <c r="O118" s="338">
        <v>1.05</v>
      </c>
      <c r="P118" s="338">
        <v>1.05</v>
      </c>
      <c r="Q118" s="338">
        <v>1.05</v>
      </c>
    </row>
    <row r="119" spans="1:17" x14ac:dyDescent="0.25">
      <c r="A119" s="336" t="s">
        <v>1086</v>
      </c>
      <c r="B119" s="337"/>
      <c r="C119" s="339">
        <v>1.03</v>
      </c>
      <c r="D119" s="339">
        <v>1.05</v>
      </c>
      <c r="E119" s="339">
        <v>1.085</v>
      </c>
      <c r="F119" s="339">
        <v>1.07</v>
      </c>
      <c r="G119" s="339">
        <v>1.07</v>
      </c>
      <c r="H119" s="339">
        <v>1.03</v>
      </c>
      <c r="I119" s="339">
        <v>1.0249999999999999</v>
      </c>
      <c r="J119" s="339">
        <v>1.0249999999999999</v>
      </c>
      <c r="K119" s="339">
        <v>1.0249999999999999</v>
      </c>
      <c r="L119" s="339">
        <v>1.0249999999999999</v>
      </c>
      <c r="M119" s="339">
        <v>1.0229999999999999</v>
      </c>
      <c r="N119" s="339">
        <v>1.02</v>
      </c>
      <c r="O119" s="339">
        <v>1.02</v>
      </c>
      <c r="P119" s="339">
        <v>1.02</v>
      </c>
      <c r="Q119" s="339">
        <v>1.02</v>
      </c>
    </row>
    <row r="120" spans="1:17" x14ac:dyDescent="0.25">
      <c r="A120" s="337"/>
      <c r="B120" s="337"/>
      <c r="C120" s="340"/>
      <c r="D120" s="340"/>
      <c r="E120" s="340"/>
      <c r="F120" s="340"/>
      <c r="G120" s="340"/>
      <c r="H120" s="340"/>
      <c r="I120" s="340"/>
      <c r="J120" s="340"/>
      <c r="K120" s="340"/>
      <c r="L120" s="340"/>
      <c r="M120" s="340"/>
      <c r="N120" s="340"/>
      <c r="O120" s="340"/>
      <c r="P120" s="340"/>
      <c r="Q120" s="340"/>
    </row>
    <row r="121" spans="1:17" x14ac:dyDescent="0.25">
      <c r="A121" s="341" t="s">
        <v>1087</v>
      </c>
      <c r="B121" s="342" t="s">
        <v>1088</v>
      </c>
      <c r="C121" s="343">
        <f>[8]Жил.фонд!D2</f>
        <v>1118022.1190476192</v>
      </c>
      <c r="D121" s="343">
        <v>1167435.7571428572</v>
      </c>
      <c r="E121" s="343">
        <v>1193892.5761904763</v>
      </c>
      <c r="F121" s="343">
        <v>1214449.3952380952</v>
      </c>
      <c r="G121" s="343">
        <v>1246867.6705357141</v>
      </c>
      <c r="H121" s="343">
        <v>1279285.9458333331</v>
      </c>
      <c r="I121" s="343">
        <v>1311704.2211309525</v>
      </c>
      <c r="J121" s="343">
        <v>1344122.4964285712</v>
      </c>
      <c r="K121" s="343">
        <v>1376540.7717261906</v>
      </c>
      <c r="L121" s="343">
        <v>1408959.0470238095</v>
      </c>
      <c r="M121" s="343">
        <v>1441377.3223214285</v>
      </c>
      <c r="N121" s="343">
        <v>1473795.5976190474</v>
      </c>
      <c r="O121" s="343">
        <v>1506213.8729166668</v>
      </c>
      <c r="P121" s="343">
        <v>1538632.1482142857</v>
      </c>
      <c r="Q121" s="343">
        <v>1571050.4235119047</v>
      </c>
    </row>
    <row r="122" spans="1:17" x14ac:dyDescent="0.25">
      <c r="A122" s="344" t="s">
        <v>1089</v>
      </c>
      <c r="B122" s="345"/>
      <c r="C122" s="346"/>
      <c r="D122" s="346"/>
      <c r="E122" s="346"/>
      <c r="F122" s="346"/>
      <c r="G122" s="346"/>
      <c r="H122" s="346"/>
      <c r="I122" s="346"/>
      <c r="J122" s="346"/>
      <c r="K122" s="346"/>
      <c r="L122" s="346"/>
      <c r="M122" s="346"/>
      <c r="N122" s="346"/>
      <c r="O122" s="346"/>
      <c r="P122" s="346"/>
      <c r="Q122" s="346"/>
    </row>
    <row r="123" spans="1:17" x14ac:dyDescent="0.25">
      <c r="A123" s="347" t="s">
        <v>1090</v>
      </c>
      <c r="B123" s="337"/>
      <c r="C123" s="348">
        <v>0</v>
      </c>
      <c r="D123" s="349">
        <v>0</v>
      </c>
      <c r="E123" s="349">
        <v>0</v>
      </c>
      <c r="F123" s="349">
        <v>0</v>
      </c>
      <c r="G123" s="349">
        <v>0</v>
      </c>
      <c r="H123" s="349">
        <v>0</v>
      </c>
      <c r="I123" s="349">
        <v>0</v>
      </c>
      <c r="J123" s="349">
        <v>0</v>
      </c>
      <c r="K123" s="349">
        <v>0</v>
      </c>
      <c r="L123" s="349">
        <v>0</v>
      </c>
      <c r="M123" s="349">
        <v>0</v>
      </c>
      <c r="N123" s="349">
        <v>0</v>
      </c>
      <c r="O123" s="349">
        <v>0</v>
      </c>
      <c r="P123" s="349">
        <v>0</v>
      </c>
      <c r="Q123" s="349">
        <v>0</v>
      </c>
    </row>
    <row r="124" spans="1:17" x14ac:dyDescent="0.25">
      <c r="A124" s="347" t="s">
        <v>1091</v>
      </c>
      <c r="B124" s="337"/>
      <c r="C124" s="348">
        <v>0</v>
      </c>
      <c r="D124" s="349">
        <v>0</v>
      </c>
      <c r="E124" s="349">
        <v>0</v>
      </c>
      <c r="F124" s="349">
        <v>0</v>
      </c>
      <c r="G124" s="349">
        <v>0</v>
      </c>
      <c r="H124" s="349">
        <v>0</v>
      </c>
      <c r="I124" s="349">
        <v>0</v>
      </c>
      <c r="J124" s="349">
        <v>0</v>
      </c>
      <c r="K124" s="349">
        <v>0</v>
      </c>
      <c r="L124" s="349">
        <v>0</v>
      </c>
      <c r="M124" s="349">
        <v>0</v>
      </c>
      <c r="N124" s="349">
        <v>0</v>
      </c>
      <c r="O124" s="349">
        <v>0</v>
      </c>
      <c r="P124" s="349">
        <v>0</v>
      </c>
      <c r="Q124" s="349">
        <v>0</v>
      </c>
    </row>
    <row r="125" spans="1:17" x14ac:dyDescent="0.25">
      <c r="A125" s="347" t="s">
        <v>1092</v>
      </c>
      <c r="B125" s="337"/>
      <c r="C125" s="348">
        <v>0</v>
      </c>
      <c r="D125" s="349">
        <v>0</v>
      </c>
      <c r="E125" s="349">
        <v>0</v>
      </c>
      <c r="F125" s="349">
        <v>0</v>
      </c>
      <c r="G125" s="349">
        <v>0</v>
      </c>
      <c r="H125" s="349">
        <v>0</v>
      </c>
      <c r="I125" s="349">
        <v>0</v>
      </c>
      <c r="J125" s="349">
        <v>0</v>
      </c>
      <c r="K125" s="349">
        <v>0</v>
      </c>
      <c r="L125" s="349">
        <v>0</v>
      </c>
      <c r="M125" s="349">
        <v>0</v>
      </c>
      <c r="N125" s="349">
        <v>0</v>
      </c>
      <c r="O125" s="349">
        <v>0</v>
      </c>
      <c r="P125" s="349">
        <v>0</v>
      </c>
      <c r="Q125" s="349">
        <v>0</v>
      </c>
    </row>
    <row r="126" spans="1:17" x14ac:dyDescent="0.25">
      <c r="A126" s="347" t="s">
        <v>1093</v>
      </c>
      <c r="B126" s="337"/>
      <c r="C126" s="348">
        <v>0</v>
      </c>
      <c r="D126" s="349">
        <v>0</v>
      </c>
      <c r="E126" s="349">
        <v>0</v>
      </c>
      <c r="F126" s="349">
        <v>0</v>
      </c>
      <c r="G126" s="349">
        <v>0</v>
      </c>
      <c r="H126" s="349">
        <v>0</v>
      </c>
      <c r="I126" s="349">
        <v>0</v>
      </c>
      <c r="J126" s="349">
        <v>0</v>
      </c>
      <c r="K126" s="349">
        <v>0</v>
      </c>
      <c r="L126" s="349">
        <v>0</v>
      </c>
      <c r="M126" s="349">
        <v>0</v>
      </c>
      <c r="N126" s="349">
        <v>0</v>
      </c>
      <c r="O126" s="349">
        <v>0</v>
      </c>
      <c r="P126" s="349">
        <v>0</v>
      </c>
      <c r="Q126" s="349">
        <v>0</v>
      </c>
    </row>
    <row r="127" spans="1:17" x14ac:dyDescent="0.25">
      <c r="A127" s="350" t="s">
        <v>1094</v>
      </c>
      <c r="B127" s="326" t="s">
        <v>1088</v>
      </c>
      <c r="C127" s="351" t="e">
        <f>C121/C130/1000</f>
        <v>#DIV/0!</v>
      </c>
      <c r="D127" s="351">
        <v>28.950669736958641</v>
      </c>
      <c r="E127" s="351">
        <v>28.77612321797287</v>
      </c>
      <c r="F127" s="351">
        <v>28.472777887559964</v>
      </c>
      <c r="G127" s="351">
        <v>28.455604330086135</v>
      </c>
      <c r="H127" s="351">
        <v>28.439952555096109</v>
      </c>
      <c r="I127" s="351">
        <v>28.425090389870249</v>
      </c>
      <c r="J127" s="351">
        <v>28.41095955249569</v>
      </c>
      <c r="K127" s="351">
        <v>28.396921541540806</v>
      </c>
      <c r="L127" s="351">
        <v>28.384114245327453</v>
      </c>
      <c r="M127" s="351">
        <v>28.371893831494766</v>
      </c>
      <c r="N127" s="351">
        <v>28.359675138913317</v>
      </c>
      <c r="O127" s="351">
        <v>28.348525802090393</v>
      </c>
      <c r="P127" s="351">
        <v>28.337854505199015</v>
      </c>
      <c r="Q127" s="351">
        <v>28.327120382104624</v>
      </c>
    </row>
    <row r="128" spans="1:17" x14ac:dyDescent="0.25">
      <c r="A128" s="352"/>
      <c r="B128" s="352"/>
      <c r="C128" s="353"/>
      <c r="D128" s="353"/>
      <c r="E128" s="353"/>
      <c r="F128" s="353"/>
      <c r="G128" s="353"/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</row>
    <row r="129" spans="1:17" x14ac:dyDescent="0.25">
      <c r="A129" s="354"/>
      <c r="B129" s="354"/>
      <c r="C129" s="323">
        <v>2021</v>
      </c>
      <c r="D129" s="323">
        <v>2022</v>
      </c>
      <c r="E129" s="323">
        <v>2023</v>
      </c>
      <c r="F129" s="323">
        <v>2024</v>
      </c>
      <c r="G129" s="323">
        <v>2025</v>
      </c>
      <c r="H129" s="323">
        <v>2026</v>
      </c>
      <c r="I129" s="323">
        <v>2027</v>
      </c>
      <c r="J129" s="323">
        <v>2028</v>
      </c>
      <c r="K129" s="323">
        <v>2029</v>
      </c>
      <c r="L129" s="323">
        <v>2030</v>
      </c>
      <c r="M129" s="323">
        <v>2031</v>
      </c>
      <c r="N129" s="323">
        <v>2032</v>
      </c>
      <c r="O129" s="323">
        <v>2033</v>
      </c>
      <c r="P129" s="323">
        <v>2034</v>
      </c>
      <c r="Q129" s="323">
        <v>2035</v>
      </c>
    </row>
    <row r="130" spans="1:17" x14ac:dyDescent="0.25">
      <c r="A130" s="355" t="s">
        <v>1095</v>
      </c>
      <c r="B130" s="341" t="s">
        <v>88</v>
      </c>
      <c r="C130" s="356">
        <f>[8]Население!D6</f>
        <v>0</v>
      </c>
      <c r="D130" s="356">
        <v>40.325000000000003</v>
      </c>
      <c r="E130" s="356">
        <v>41.488999999999997</v>
      </c>
      <c r="F130" s="356">
        <v>42.652999999999999</v>
      </c>
      <c r="G130" s="356">
        <v>43.817999999999998</v>
      </c>
      <c r="H130" s="356">
        <v>44.981999999999999</v>
      </c>
      <c r="I130" s="356">
        <v>46.146000000000001</v>
      </c>
      <c r="J130" s="356">
        <v>47.31</v>
      </c>
      <c r="K130" s="356">
        <v>48.475000000000001</v>
      </c>
      <c r="L130" s="356">
        <v>49.639000000000003</v>
      </c>
      <c r="M130" s="356">
        <v>50.802999999999997</v>
      </c>
      <c r="N130" s="356">
        <v>51.968000000000004</v>
      </c>
      <c r="O130" s="356">
        <v>53.131999999999998</v>
      </c>
      <c r="P130" s="356">
        <v>54.295999999999999</v>
      </c>
      <c r="Q130" s="356">
        <v>55.460999999999999</v>
      </c>
    </row>
    <row r="131" spans="1:17" x14ac:dyDescent="0.25">
      <c r="A131" s="357" t="s">
        <v>1096</v>
      </c>
      <c r="B131" s="354"/>
      <c r="C131" s="348"/>
      <c r="D131" s="348"/>
      <c r="E131" s="348"/>
      <c r="F131" s="358"/>
      <c r="G131" s="358"/>
      <c r="H131" s="358"/>
      <c r="I131" s="358"/>
      <c r="J131" s="358"/>
      <c r="K131" s="358"/>
      <c r="L131" s="358"/>
      <c r="M131" s="358"/>
      <c r="N131" s="358"/>
      <c r="O131" s="358"/>
      <c r="P131" s="358"/>
      <c r="Q131" s="358"/>
    </row>
    <row r="132" spans="1:17" x14ac:dyDescent="0.25">
      <c r="A132" s="308" t="s">
        <v>1097</v>
      </c>
      <c r="B132" s="359" t="s">
        <v>256</v>
      </c>
      <c r="C132" s="348" t="e">
        <f t="shared" ref="C132" si="12">C133*C135/1000</f>
        <v>#VALUE!</v>
      </c>
      <c r="D132" s="348">
        <v>44.609441759999996</v>
      </c>
      <c r="E132" s="348">
        <v>49.033532600000001</v>
      </c>
      <c r="F132" s="348">
        <v>54.945330199999994</v>
      </c>
      <c r="G132" s="348">
        <v>65.329599999999999</v>
      </c>
      <c r="H132" s="348">
        <v>75.787194</v>
      </c>
      <c r="I132" s="348">
        <v>86.261420700000002</v>
      </c>
      <c r="J132" s="348">
        <v>98.042779800000005</v>
      </c>
      <c r="K132" s="348">
        <v>110.18677599999998</v>
      </c>
      <c r="L132" s="348">
        <v>122.43317279999999</v>
      </c>
      <c r="M132" s="348">
        <v>137.46</v>
      </c>
      <c r="N132" s="348">
        <v>150.83390400000002</v>
      </c>
      <c r="O132" s="348">
        <v>165.30939999999998</v>
      </c>
      <c r="P132" s="348">
        <v>180.03384</v>
      </c>
      <c r="Q132" s="348">
        <v>195.81431599999999</v>
      </c>
    </row>
    <row r="133" spans="1:17" ht="15.75" x14ac:dyDescent="0.25">
      <c r="A133" s="308" t="s">
        <v>1098</v>
      </c>
      <c r="B133" s="359" t="s">
        <v>98</v>
      </c>
      <c r="C133" s="360" t="str">
        <f>[8]Спрос!C12</f>
        <v>тыс. м3</v>
      </c>
      <c r="D133" s="360">
        <v>845.26</v>
      </c>
      <c r="E133" s="360">
        <v>845.26</v>
      </c>
      <c r="F133" s="360">
        <v>912.41</v>
      </c>
      <c r="G133" s="360">
        <v>982.4</v>
      </c>
      <c r="H133" s="360">
        <v>1051.1400000000001</v>
      </c>
      <c r="I133" s="360">
        <v>1118.3900000000001</v>
      </c>
      <c r="J133" s="360">
        <v>1185.3800000000001</v>
      </c>
      <c r="K133" s="360">
        <v>1249.8499999999999</v>
      </c>
      <c r="L133" s="360">
        <v>1303.5899999999999</v>
      </c>
      <c r="M133" s="360">
        <v>1374.6</v>
      </c>
      <c r="N133" s="360">
        <v>1445.6</v>
      </c>
      <c r="O133" s="360">
        <v>1516.6</v>
      </c>
      <c r="P133" s="360">
        <v>1587.6</v>
      </c>
      <c r="Q133" s="360">
        <v>1658.6</v>
      </c>
    </row>
    <row r="134" spans="1:17" x14ac:dyDescent="0.25">
      <c r="A134" s="308" t="s">
        <v>1099</v>
      </c>
      <c r="B134" s="359" t="s">
        <v>1100</v>
      </c>
      <c r="C134" s="351">
        <v>42.81</v>
      </c>
      <c r="D134" s="351">
        <v>43.98</v>
      </c>
      <c r="E134" s="351">
        <v>48.34</v>
      </c>
      <c r="F134" s="351">
        <v>50.18</v>
      </c>
      <c r="G134" s="351">
        <v>55.41</v>
      </c>
      <c r="H134" s="351">
        <v>60.08</v>
      </c>
      <c r="I134" s="351">
        <v>64.27</v>
      </c>
      <c r="J134" s="351">
        <v>68.92</v>
      </c>
      <c r="K134" s="351">
        <v>73.459999999999994</v>
      </c>
      <c r="L134" s="351">
        <v>78.260000000000005</v>
      </c>
      <c r="M134" s="351">
        <v>83.33</v>
      </c>
      <c r="N134" s="351">
        <v>86.95</v>
      </c>
      <c r="O134" s="351">
        <v>90.83</v>
      </c>
      <c r="P134" s="351">
        <v>94.5</v>
      </c>
      <c r="Q134" s="351">
        <v>98.38</v>
      </c>
    </row>
    <row r="135" spans="1:17" x14ac:dyDescent="0.25">
      <c r="A135" s="308" t="s">
        <v>1101</v>
      </c>
      <c r="B135" s="359" t="s">
        <v>1100</v>
      </c>
      <c r="C135" s="351">
        <v>51.372</v>
      </c>
      <c r="D135" s="351">
        <v>52.775999999999996</v>
      </c>
      <c r="E135" s="351">
        <v>58.01</v>
      </c>
      <c r="F135" s="351">
        <v>60.22</v>
      </c>
      <c r="G135" s="351">
        <v>66.5</v>
      </c>
      <c r="H135" s="351">
        <v>72.099999999999994</v>
      </c>
      <c r="I135" s="351">
        <v>77.13</v>
      </c>
      <c r="J135" s="351">
        <v>82.71</v>
      </c>
      <c r="K135" s="351">
        <v>88.16</v>
      </c>
      <c r="L135" s="351">
        <v>93.92</v>
      </c>
      <c r="M135" s="351">
        <v>100</v>
      </c>
      <c r="N135" s="351">
        <v>104.34</v>
      </c>
      <c r="O135" s="351">
        <v>109</v>
      </c>
      <c r="P135" s="351">
        <v>113.4</v>
      </c>
      <c r="Q135" s="351">
        <v>118.06</v>
      </c>
    </row>
    <row r="136" spans="1:17" x14ac:dyDescent="0.25">
      <c r="A136" s="357" t="s">
        <v>1102</v>
      </c>
      <c r="B136" s="354"/>
      <c r="C136" s="348"/>
      <c r="D136" s="348"/>
      <c r="E136" s="348"/>
      <c r="F136" s="358"/>
      <c r="G136" s="358"/>
      <c r="H136" s="358"/>
      <c r="I136" s="358"/>
      <c r="J136" s="358"/>
      <c r="K136" s="358"/>
      <c r="L136" s="358"/>
      <c r="M136" s="358"/>
      <c r="N136" s="358"/>
      <c r="O136" s="358"/>
      <c r="P136" s="358"/>
      <c r="Q136" s="358"/>
    </row>
    <row r="137" spans="1:17" x14ac:dyDescent="0.25">
      <c r="A137" s="308" t="s">
        <v>1103</v>
      </c>
      <c r="B137" s="359" t="s">
        <v>256</v>
      </c>
      <c r="C137" s="348" t="e">
        <f t="shared" ref="C137" si="13">C138*C140/1000</f>
        <v>#VALUE!</v>
      </c>
      <c r="D137" s="348">
        <v>73.208183039999994</v>
      </c>
      <c r="E137" s="348">
        <v>80.234745000000004</v>
      </c>
      <c r="F137" s="348">
        <v>83.632280800000004</v>
      </c>
      <c r="G137" s="348">
        <v>101.37191519999999</v>
      </c>
      <c r="H137" s="348">
        <v>115.1696254</v>
      </c>
      <c r="I137" s="348">
        <v>129.92598179999999</v>
      </c>
      <c r="J137" s="348">
        <v>147.64818530000002</v>
      </c>
      <c r="K137" s="348">
        <v>164.20080869999998</v>
      </c>
      <c r="L137" s="348">
        <v>180.36829560000001</v>
      </c>
      <c r="M137" s="348">
        <v>201.15472</v>
      </c>
      <c r="N137" s="348">
        <v>223.95638159999999</v>
      </c>
      <c r="O137" s="348">
        <v>250.20279620000002</v>
      </c>
      <c r="P137" s="348">
        <v>277.39363380000003</v>
      </c>
      <c r="Q137" s="348">
        <v>305.66148550000003</v>
      </c>
    </row>
    <row r="138" spans="1:17" ht="15.75" x14ac:dyDescent="0.25">
      <c r="A138" s="308" t="s">
        <v>1104</v>
      </c>
      <c r="B138" s="359" t="s">
        <v>98</v>
      </c>
      <c r="C138" s="343" t="str">
        <f>[8]Спрос!C17</f>
        <v>тыс. м3</v>
      </c>
      <c r="D138" s="343">
        <v>1301.3399999999999</v>
      </c>
      <c r="E138" s="343">
        <v>1304.6300000000001</v>
      </c>
      <c r="F138" s="343">
        <v>1310.44</v>
      </c>
      <c r="G138" s="343">
        <v>1492.08</v>
      </c>
      <c r="H138" s="343">
        <v>1586.14</v>
      </c>
      <c r="I138" s="343">
        <v>1677.33</v>
      </c>
      <c r="J138" s="343">
        <v>1768.03</v>
      </c>
      <c r="K138" s="343">
        <v>1853.91</v>
      </c>
      <c r="L138" s="343">
        <v>1919.22</v>
      </c>
      <c r="M138" s="343">
        <v>2017.6</v>
      </c>
      <c r="N138" s="343">
        <v>2115.9899999999998</v>
      </c>
      <c r="O138" s="343">
        <v>2214.38</v>
      </c>
      <c r="P138" s="343">
        <v>2312.77</v>
      </c>
      <c r="Q138" s="343">
        <v>2411.15</v>
      </c>
    </row>
    <row r="139" spans="1:17" x14ac:dyDescent="0.25">
      <c r="A139" s="308" t="s">
        <v>1105</v>
      </c>
      <c r="B139" s="359" t="s">
        <v>1100</v>
      </c>
      <c r="C139" s="351">
        <v>45.72</v>
      </c>
      <c r="D139" s="351">
        <v>46.88</v>
      </c>
      <c r="E139" s="351">
        <v>51.25</v>
      </c>
      <c r="F139" s="351">
        <v>53.19</v>
      </c>
      <c r="G139" s="351">
        <v>56.62</v>
      </c>
      <c r="H139" s="351">
        <v>60.51</v>
      </c>
      <c r="I139" s="351">
        <v>64.55</v>
      </c>
      <c r="J139" s="351">
        <v>69.59</v>
      </c>
      <c r="K139" s="351">
        <v>73.81</v>
      </c>
      <c r="L139" s="351">
        <v>78.319999999999993</v>
      </c>
      <c r="M139" s="351">
        <v>83.09</v>
      </c>
      <c r="N139" s="351">
        <v>88.21</v>
      </c>
      <c r="O139" s="351">
        <v>94.17</v>
      </c>
      <c r="P139" s="351">
        <v>99.96</v>
      </c>
      <c r="Q139" s="351">
        <v>105.65</v>
      </c>
    </row>
    <row r="140" spans="1:17" ht="25.5" x14ac:dyDescent="0.25">
      <c r="A140" s="308" t="s">
        <v>1106</v>
      </c>
      <c r="B140" s="359" t="s">
        <v>1100</v>
      </c>
      <c r="C140" s="351">
        <v>54.863999999999997</v>
      </c>
      <c r="D140" s="351">
        <v>56.256</v>
      </c>
      <c r="E140" s="351">
        <v>61.5</v>
      </c>
      <c r="F140" s="351">
        <v>63.82</v>
      </c>
      <c r="G140" s="351">
        <v>67.94</v>
      </c>
      <c r="H140" s="351">
        <v>72.61</v>
      </c>
      <c r="I140" s="351">
        <v>77.459999999999994</v>
      </c>
      <c r="J140" s="351">
        <v>83.51</v>
      </c>
      <c r="K140" s="351">
        <v>88.57</v>
      </c>
      <c r="L140" s="351">
        <v>93.98</v>
      </c>
      <c r="M140" s="351">
        <v>99.7</v>
      </c>
      <c r="N140" s="351">
        <v>105.84</v>
      </c>
      <c r="O140" s="351">
        <v>112.99</v>
      </c>
      <c r="P140" s="351">
        <v>119.94</v>
      </c>
      <c r="Q140" s="351">
        <v>126.77</v>
      </c>
    </row>
    <row r="141" spans="1:17" x14ac:dyDescent="0.25">
      <c r="A141" s="361" t="s">
        <v>1107</v>
      </c>
      <c r="B141" s="362"/>
      <c r="C141" s="348"/>
      <c r="D141" s="348"/>
      <c r="E141" s="348"/>
      <c r="F141" s="343"/>
      <c r="G141" s="343"/>
      <c r="H141" s="343"/>
      <c r="I141" s="343"/>
      <c r="J141" s="343"/>
      <c r="K141" s="343"/>
      <c r="L141" s="343"/>
      <c r="M141" s="343"/>
      <c r="N141" s="343"/>
      <c r="O141" s="343"/>
      <c r="P141" s="343"/>
      <c r="Q141" s="343"/>
    </row>
    <row r="142" spans="1:17" x14ac:dyDescent="0.25">
      <c r="A142" s="308" t="s">
        <v>1108</v>
      </c>
      <c r="B142" s="363" t="s">
        <v>256</v>
      </c>
      <c r="C142" s="348" t="e">
        <f>C143*C144/1000000</f>
        <v>#VALUE!</v>
      </c>
      <c r="D142" s="348">
        <v>65.243576538244994</v>
      </c>
      <c r="E142" s="348">
        <v>74.664807233929338</v>
      </c>
      <c r="F142" s="348">
        <v>83.266871481905881</v>
      </c>
      <c r="G142" s="348">
        <v>93.702233884001458</v>
      </c>
      <c r="H142" s="348">
        <v>99.56321542121907</v>
      </c>
      <c r="I142" s="348">
        <v>105.17845819046454</v>
      </c>
      <c r="J142" s="348">
        <v>111.01223608853401</v>
      </c>
      <c r="K142" s="348">
        <v>117.07196634513792</v>
      </c>
      <c r="L142" s="348">
        <v>123.3653004670167</v>
      </c>
      <c r="M142" s="348">
        <v>129.64666764516318</v>
      </c>
      <c r="N142" s="348">
        <v>135.75244557081962</v>
      </c>
      <c r="O142" s="348">
        <v>142.05059594644428</v>
      </c>
      <c r="P142" s="348">
        <v>148.5463713588656</v>
      </c>
      <c r="Q142" s="348">
        <v>155.24515754940518</v>
      </c>
    </row>
    <row r="143" spans="1:17" ht="15.75" x14ac:dyDescent="0.25">
      <c r="A143" s="364" t="s">
        <v>1109</v>
      </c>
      <c r="B143" s="363" t="s">
        <v>98</v>
      </c>
      <c r="C143" s="348" t="str">
        <f>[8]Спрос!C28</f>
        <v>тыс.м3</v>
      </c>
      <c r="D143" s="348">
        <v>13602.713</v>
      </c>
      <c r="E143" s="348">
        <v>14090.251674629619</v>
      </c>
      <c r="F143" s="348">
        <v>14685.585701911281</v>
      </c>
      <c r="G143" s="348">
        <v>15444.903227754699</v>
      </c>
      <c r="H143" s="348">
        <v>15932.977246419241</v>
      </c>
      <c r="I143" s="348">
        <v>16421.051265083785</v>
      </c>
      <c r="J143" s="348">
        <v>16909.125283748326</v>
      </c>
      <c r="K143" s="348">
        <v>17397.199302412868</v>
      </c>
      <c r="L143" s="348">
        <v>17885.273321077409</v>
      </c>
      <c r="M143" s="348">
        <v>18373.347339741951</v>
      </c>
      <c r="N143" s="348">
        <v>18861.421358406493</v>
      </c>
      <c r="O143" s="348">
        <v>19349.495377071034</v>
      </c>
      <c r="P143" s="348">
        <v>19837.56939573558</v>
      </c>
      <c r="Q143" s="348">
        <v>20325.643414400121</v>
      </c>
    </row>
    <row r="144" spans="1:17" x14ac:dyDescent="0.25">
      <c r="A144" s="365" t="s">
        <v>1110</v>
      </c>
      <c r="B144" s="366" t="s">
        <v>1111</v>
      </c>
      <c r="C144" s="367">
        <v>4659.79</v>
      </c>
      <c r="D144" s="367">
        <v>4796.3649999999998</v>
      </c>
      <c r="E144" s="367">
        <v>5299.04</v>
      </c>
      <c r="F144" s="367">
        <v>5669.9728000000005</v>
      </c>
      <c r="G144" s="367">
        <v>6066.8708960000013</v>
      </c>
      <c r="H144" s="367">
        <v>6248.8770228800013</v>
      </c>
      <c r="I144" s="367">
        <v>6405.0989484520005</v>
      </c>
      <c r="J144" s="367">
        <v>6565.2264221632995</v>
      </c>
      <c r="K144" s="367">
        <v>6729.3570827173817</v>
      </c>
      <c r="L144" s="367">
        <v>6897.5910097853157</v>
      </c>
      <c r="M144" s="367">
        <v>7056.2356030103774</v>
      </c>
      <c r="N144" s="367">
        <v>7197.3603150705849</v>
      </c>
      <c r="O144" s="367">
        <v>7341.3075213719967</v>
      </c>
      <c r="P144" s="367">
        <v>7488.1336717994363</v>
      </c>
      <c r="Q144" s="367">
        <v>7637.8963452354255</v>
      </c>
    </row>
    <row r="145" spans="1:17" x14ac:dyDescent="0.25">
      <c r="A145" s="357" t="s">
        <v>1112</v>
      </c>
      <c r="B145" s="335"/>
      <c r="C145" s="348"/>
      <c r="D145" s="348"/>
      <c r="E145" s="348"/>
      <c r="F145" s="358"/>
      <c r="G145" s="358"/>
      <c r="H145" s="358"/>
      <c r="I145" s="358"/>
      <c r="J145" s="358"/>
      <c r="K145" s="358"/>
      <c r="L145" s="358"/>
      <c r="M145" s="358"/>
      <c r="N145" s="358"/>
      <c r="O145" s="358"/>
      <c r="P145" s="358"/>
      <c r="Q145" s="358"/>
    </row>
    <row r="146" spans="1:17" x14ac:dyDescent="0.25">
      <c r="A146" s="308" t="s">
        <v>1113</v>
      </c>
      <c r="B146" s="359" t="s">
        <v>256</v>
      </c>
      <c r="C146" s="351" t="e">
        <f>C147*C148/1000</f>
        <v>#VALUE!</v>
      </c>
      <c r="D146" s="351">
        <v>83.579286639999992</v>
      </c>
      <c r="E146" s="351">
        <v>116.96842542</v>
      </c>
      <c r="F146" s="351">
        <v>124.559622</v>
      </c>
      <c r="G146" s="351">
        <v>141.33290522999999</v>
      </c>
      <c r="H146" s="351">
        <v>151.91105471999998</v>
      </c>
      <c r="I146" s="351">
        <v>149.89868634000001</v>
      </c>
      <c r="J146" s="351">
        <v>159.80196176999999</v>
      </c>
      <c r="K146" s="351">
        <v>170.28632253360001</v>
      </c>
      <c r="L146" s="351">
        <v>181.34991940915199</v>
      </c>
      <c r="M146" s="351">
        <v>193.02614591869445</v>
      </c>
      <c r="N146" s="351">
        <v>205.35183348661866</v>
      </c>
      <c r="O146" s="351">
        <v>218.34755457523192</v>
      </c>
      <c r="P146" s="351">
        <v>232.05735715228607</v>
      </c>
      <c r="Q146" s="351">
        <v>246.51769405251179</v>
      </c>
    </row>
    <row r="147" spans="1:17" ht="15.75" x14ac:dyDescent="0.25">
      <c r="A147" s="308" t="s">
        <v>1114</v>
      </c>
      <c r="B147" s="359" t="s">
        <v>98</v>
      </c>
      <c r="C147" s="348" t="str">
        <f>[8]Спрос!C33</f>
        <v>тыс. м3</v>
      </c>
      <c r="D147" s="348">
        <v>111.304</v>
      </c>
      <c r="E147" s="348">
        <v>121.818</v>
      </c>
      <c r="F147" s="348">
        <v>124.31100000000001</v>
      </c>
      <c r="G147" s="348">
        <v>124.31100000000001</v>
      </c>
      <c r="H147" s="348">
        <v>128.73599999999999</v>
      </c>
      <c r="I147" s="348">
        <v>132.06700000000001</v>
      </c>
      <c r="J147" s="348">
        <v>135.399</v>
      </c>
      <c r="K147" s="348">
        <v>138.733</v>
      </c>
      <c r="L147" s="348">
        <v>142.06399999999999</v>
      </c>
      <c r="M147" s="348">
        <v>145.39500000000001</v>
      </c>
      <c r="N147" s="348">
        <v>148.72999999999999</v>
      </c>
      <c r="O147" s="348">
        <v>152.06</v>
      </c>
      <c r="P147" s="348">
        <v>155.392</v>
      </c>
      <c r="Q147" s="348">
        <v>158.726</v>
      </c>
    </row>
    <row r="148" spans="1:17" ht="25.5" x14ac:dyDescent="0.25">
      <c r="A148" s="308" t="s">
        <v>1115</v>
      </c>
      <c r="B148" s="359" t="s">
        <v>1100</v>
      </c>
      <c r="C148" s="351">
        <v>726.61500000000001</v>
      </c>
      <c r="D148" s="351">
        <v>750.91</v>
      </c>
      <c r="E148" s="351">
        <v>960.19</v>
      </c>
      <c r="F148" s="351">
        <v>1002</v>
      </c>
      <c r="G148" s="351">
        <v>1136.93</v>
      </c>
      <c r="H148" s="351">
        <v>1180.02</v>
      </c>
      <c r="I148" s="348">
        <v>1135.02</v>
      </c>
      <c r="J148" s="348">
        <v>1180.23</v>
      </c>
      <c r="K148" s="348">
        <v>1227.4392</v>
      </c>
      <c r="L148" s="348">
        <v>1276.5367680000002</v>
      </c>
      <c r="M148" s="348">
        <v>1327.5982387200002</v>
      </c>
      <c r="N148" s="348">
        <v>1380.7021682688003</v>
      </c>
      <c r="O148" s="348">
        <v>1435.9302549995523</v>
      </c>
      <c r="P148" s="348">
        <v>1493.3674651995345</v>
      </c>
      <c r="Q148" s="348">
        <v>1553.102163807516</v>
      </c>
    </row>
    <row r="149" spans="1:17" x14ac:dyDescent="0.25">
      <c r="A149" s="357" t="s">
        <v>1116</v>
      </c>
      <c r="B149" s="335"/>
      <c r="C149" s="348"/>
      <c r="D149" s="348"/>
      <c r="E149" s="348"/>
      <c r="F149" s="358"/>
      <c r="G149" s="358"/>
      <c r="H149" s="358"/>
      <c r="I149" s="358"/>
      <c r="J149" s="358"/>
      <c r="K149" s="358"/>
      <c r="L149" s="358"/>
      <c r="M149" s="358"/>
      <c r="N149" s="358"/>
      <c r="O149" s="358"/>
      <c r="P149" s="358"/>
      <c r="Q149" s="358"/>
    </row>
    <row r="150" spans="1:17" x14ac:dyDescent="0.25">
      <c r="A150" s="308" t="s">
        <v>1117</v>
      </c>
      <c r="B150" s="359" t="s">
        <v>256</v>
      </c>
      <c r="C150" s="348" t="e">
        <f t="shared" ref="C150" si="14">C151*C153/1000</f>
        <v>#VALUE!</v>
      </c>
      <c r="D150" s="348">
        <v>295.83452866799996</v>
      </c>
      <c r="E150" s="348">
        <v>319.609505232</v>
      </c>
      <c r="F150" s="348">
        <v>338.11501851599996</v>
      </c>
      <c r="G150" s="348">
        <v>362.98991731199999</v>
      </c>
      <c r="H150" s="348">
        <v>394.97530380000001</v>
      </c>
      <c r="I150" s="348">
        <v>423.70917131999994</v>
      </c>
      <c r="J150" s="348">
        <v>451.65708756000004</v>
      </c>
      <c r="K150" s="348">
        <v>480.25865318400008</v>
      </c>
      <c r="L150" s="348">
        <v>509.02148293199997</v>
      </c>
      <c r="M150" s="348">
        <v>539.95990042799997</v>
      </c>
      <c r="N150" s="348">
        <v>568.41814807200001</v>
      </c>
      <c r="O150" s="348">
        <v>596.79642834000003</v>
      </c>
      <c r="P150" s="348">
        <v>627.27554566799995</v>
      </c>
      <c r="Q150" s="348">
        <v>660.18596997600002</v>
      </c>
    </row>
    <row r="151" spans="1:17" x14ac:dyDescent="0.25">
      <c r="A151" s="308" t="s">
        <v>1118</v>
      </c>
      <c r="B151" s="359" t="s">
        <v>94</v>
      </c>
      <c r="C151" s="348" t="str">
        <f>[8]Спрос!C7</f>
        <v>тыс. Гкал</v>
      </c>
      <c r="D151" s="348">
        <v>133.84700000000001</v>
      </c>
      <c r="E151" s="348">
        <v>130.09200000000001</v>
      </c>
      <c r="F151" s="348">
        <v>130.601</v>
      </c>
      <c r="G151" s="348">
        <v>133.47200000000001</v>
      </c>
      <c r="H151" s="348">
        <v>140.52500000000001</v>
      </c>
      <c r="I151" s="348">
        <v>146.88499999999999</v>
      </c>
      <c r="J151" s="348">
        <v>152.565</v>
      </c>
      <c r="K151" s="348">
        <v>158.07300000000001</v>
      </c>
      <c r="L151" s="348">
        <v>163.249</v>
      </c>
      <c r="M151" s="348">
        <v>168.18100000000001</v>
      </c>
      <c r="N151" s="348">
        <v>172.934</v>
      </c>
      <c r="O151" s="348">
        <v>177.345</v>
      </c>
      <c r="P151" s="348">
        <v>182.059</v>
      </c>
      <c r="Q151" s="348">
        <v>187.13900000000001</v>
      </c>
    </row>
    <row r="152" spans="1:17" x14ac:dyDescent="0.25">
      <c r="A152" s="308" t="s">
        <v>1119</v>
      </c>
      <c r="B152" s="359" t="s">
        <v>1120</v>
      </c>
      <c r="C152" s="351">
        <v>1781.32</v>
      </c>
      <c r="D152" s="351">
        <v>1841.87</v>
      </c>
      <c r="E152" s="351">
        <v>2047.33</v>
      </c>
      <c r="F152" s="351">
        <v>2157.4299999999998</v>
      </c>
      <c r="G152" s="351">
        <v>2266.33</v>
      </c>
      <c r="H152" s="351">
        <v>2342.2600000000002</v>
      </c>
      <c r="I152" s="351">
        <v>2403.86</v>
      </c>
      <c r="J152" s="351">
        <v>2467.02</v>
      </c>
      <c r="K152" s="351">
        <v>2531.84</v>
      </c>
      <c r="L152" s="351">
        <v>2598.39</v>
      </c>
      <c r="M152" s="351">
        <v>2675.49</v>
      </c>
      <c r="N152" s="351">
        <v>2739.09</v>
      </c>
      <c r="O152" s="351">
        <v>2804.31</v>
      </c>
      <c r="P152" s="351">
        <v>2871.21</v>
      </c>
      <c r="Q152" s="351">
        <v>2939.82</v>
      </c>
    </row>
    <row r="153" spans="1:17" x14ac:dyDescent="0.25">
      <c r="A153" s="308" t="s">
        <v>1121</v>
      </c>
      <c r="B153" s="359" t="s">
        <v>1120</v>
      </c>
      <c r="C153" s="351">
        <f>C152*1.2</f>
        <v>2137.5839999999998</v>
      </c>
      <c r="D153" s="351">
        <v>2210.2439999999997</v>
      </c>
      <c r="E153" s="351">
        <v>2456.7959999999998</v>
      </c>
      <c r="F153" s="351">
        <v>2588.9159999999997</v>
      </c>
      <c r="G153" s="351">
        <v>2719.596</v>
      </c>
      <c r="H153" s="351">
        <v>2810.712</v>
      </c>
      <c r="I153" s="351">
        <v>2884.6320000000001</v>
      </c>
      <c r="J153" s="351">
        <v>2960.424</v>
      </c>
      <c r="K153" s="351">
        <v>3038.2080000000001</v>
      </c>
      <c r="L153" s="351">
        <v>3118.0679999999998</v>
      </c>
      <c r="M153" s="351">
        <v>3210.5879999999997</v>
      </c>
      <c r="N153" s="351">
        <v>3286.9079999999999</v>
      </c>
      <c r="O153" s="351">
        <v>3365.172</v>
      </c>
      <c r="P153" s="351">
        <v>3445.4519999999998</v>
      </c>
      <c r="Q153" s="351">
        <v>3527.7840000000001</v>
      </c>
    </row>
    <row r="154" spans="1:17" x14ac:dyDescent="0.25">
      <c r="A154" s="357" t="s">
        <v>1122</v>
      </c>
      <c r="B154" s="359"/>
      <c r="C154" s="348"/>
      <c r="D154" s="348"/>
      <c r="E154" s="348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</row>
    <row r="155" spans="1:17" x14ac:dyDescent="0.25">
      <c r="A155" s="308" t="s">
        <v>1123</v>
      </c>
      <c r="B155" s="359" t="s">
        <v>256</v>
      </c>
      <c r="C155" s="348" t="e">
        <f t="shared" ref="C155" si="15">C157*C160+C158*C159</f>
        <v>#VALUE!</v>
      </c>
      <c r="D155" s="348">
        <v>146.59878901482369</v>
      </c>
      <c r="E155" s="348">
        <v>166.73020745793644</v>
      </c>
      <c r="F155" s="348">
        <v>181.19579140376945</v>
      </c>
      <c r="G155" s="348">
        <v>198.08338273956849</v>
      </c>
      <c r="H155" s="348">
        <v>212.72967405996118</v>
      </c>
      <c r="I155" s="348">
        <v>227.78640336168405</v>
      </c>
      <c r="J155" s="348">
        <v>243.72936357285232</v>
      </c>
      <c r="K155" s="348">
        <v>260.60916885182587</v>
      </c>
      <c r="L155" s="348">
        <v>278.47931560120765</v>
      </c>
      <c r="M155" s="348">
        <v>297.15918215636896</v>
      </c>
      <c r="N155" s="348">
        <v>316.54375598355489</v>
      </c>
      <c r="O155" s="348">
        <v>337.04074747567051</v>
      </c>
      <c r="P155" s="348">
        <v>358.70976437672311</v>
      </c>
      <c r="Q155" s="348">
        <v>381.61804984100417</v>
      </c>
    </row>
    <row r="156" spans="1:17" x14ac:dyDescent="0.25">
      <c r="A156" s="368" t="s">
        <v>1124</v>
      </c>
      <c r="B156" s="369" t="s">
        <v>1125</v>
      </c>
      <c r="C156" s="370" t="str">
        <f>[8]Спрос!C22</f>
        <v>млн. кВт*ч</v>
      </c>
      <c r="D156" s="370">
        <v>58.151000000000003</v>
      </c>
      <c r="E156" s="370">
        <v>59.771000000000001</v>
      </c>
      <c r="F156" s="370">
        <v>61.029000000000003</v>
      </c>
      <c r="G156" s="370">
        <v>63.014000000000003</v>
      </c>
      <c r="H156" s="370">
        <v>64.998999999999995</v>
      </c>
      <c r="I156" s="370">
        <v>66.983999999999995</v>
      </c>
      <c r="J156" s="370">
        <v>68.968999999999994</v>
      </c>
      <c r="K156" s="370">
        <v>70.953999999999994</v>
      </c>
      <c r="L156" s="370">
        <v>72.938999999999993</v>
      </c>
      <c r="M156" s="370">
        <v>74.924000000000007</v>
      </c>
      <c r="N156" s="370">
        <v>76.908000000000001</v>
      </c>
      <c r="O156" s="370">
        <v>78.893000000000001</v>
      </c>
      <c r="P156" s="370">
        <v>80.878</v>
      </c>
      <c r="Q156" s="370">
        <v>82.863</v>
      </c>
    </row>
    <row r="157" spans="1:17" x14ac:dyDescent="0.25">
      <c r="A157" s="368" t="s">
        <v>1126</v>
      </c>
      <c r="B157" s="369" t="s">
        <v>1125</v>
      </c>
      <c r="C157" s="370" t="str">
        <f>[8]Спрос!C23</f>
        <v>млн. кВт*ч</v>
      </c>
      <c r="D157" s="370">
        <v>37.656574038028488</v>
      </c>
      <c r="E157" s="370">
        <v>38.705629943199611</v>
      </c>
      <c r="F157" s="370">
        <v>39.520267183141137</v>
      </c>
      <c r="G157" s="370">
        <v>40.80568444966255</v>
      </c>
      <c r="H157" s="370">
        <v>42.091101716183957</v>
      </c>
      <c r="I157" s="370">
        <v>43.376518982705363</v>
      </c>
      <c r="J157" s="370">
        <v>44.661936249226777</v>
      </c>
      <c r="K157" s="370">
        <v>45.947353515748183</v>
      </c>
      <c r="L157" s="370">
        <v>47.232770782269597</v>
      </c>
      <c r="M157" s="370">
        <v>48.518188048791011</v>
      </c>
      <c r="N157" s="370">
        <v>49.802957749938855</v>
      </c>
      <c r="O157" s="370">
        <v>51.088375016460269</v>
      </c>
      <c r="P157" s="370">
        <v>52.373792282981675</v>
      </c>
      <c r="Q157" s="370">
        <v>53.659209549503089</v>
      </c>
    </row>
    <row r="158" spans="1:17" x14ac:dyDescent="0.25">
      <c r="A158" s="368" t="s">
        <v>1127</v>
      </c>
      <c r="B158" s="369" t="s">
        <v>1125</v>
      </c>
      <c r="C158" s="370" t="str">
        <f>[8]Спрос!C24</f>
        <v>млн. кВт*ч</v>
      </c>
      <c r="D158" s="370">
        <v>20.494425961971519</v>
      </c>
      <c r="E158" s="370">
        <v>21.065370056800393</v>
      </c>
      <c r="F158" s="370">
        <v>21.508732816858863</v>
      </c>
      <c r="G158" s="370">
        <v>22.208315550337453</v>
      </c>
      <c r="H158" s="370">
        <v>22.907898283816042</v>
      </c>
      <c r="I158" s="370">
        <v>23.607481017294631</v>
      </c>
      <c r="J158" s="370">
        <v>24.307063750773221</v>
      </c>
      <c r="K158" s="370">
        <v>25.00664648425181</v>
      </c>
      <c r="L158" s="370">
        <v>25.706229217730399</v>
      </c>
      <c r="M158" s="370">
        <v>26.405811951208992</v>
      </c>
      <c r="N158" s="370">
        <v>27.105042250061143</v>
      </c>
      <c r="O158" s="370">
        <v>27.804624983539732</v>
      </c>
      <c r="P158" s="370">
        <v>28.504207717018321</v>
      </c>
      <c r="Q158" s="370">
        <v>29.203790450496911</v>
      </c>
    </row>
    <row r="159" spans="1:17" ht="38.25" x14ac:dyDescent="0.25">
      <c r="A159" s="371" t="s">
        <v>1128</v>
      </c>
      <c r="B159" s="372" t="s">
        <v>1129</v>
      </c>
      <c r="C159" s="329">
        <v>3.02</v>
      </c>
      <c r="D159" s="329">
        <v>3.12</v>
      </c>
      <c r="E159" s="329">
        <v>3.45</v>
      </c>
      <c r="F159" s="329">
        <v>3.6915000000000004</v>
      </c>
      <c r="G159" s="329">
        <v>3.9499050000000007</v>
      </c>
      <c r="H159" s="329">
        <v>4.0684021500000007</v>
      </c>
      <c r="I159" s="329">
        <v>4.1701122037500005</v>
      </c>
      <c r="J159" s="329">
        <v>4.2743650088437501</v>
      </c>
      <c r="K159" s="329">
        <v>4.3812241340648432</v>
      </c>
      <c r="L159" s="329">
        <v>4.4907547374164638</v>
      </c>
      <c r="M159" s="329">
        <v>4.5940420963770423</v>
      </c>
      <c r="N159" s="329">
        <v>4.6859229383045831</v>
      </c>
      <c r="O159" s="329">
        <v>4.7796413970706748</v>
      </c>
      <c r="P159" s="329">
        <v>4.8752342250120888</v>
      </c>
      <c r="Q159" s="329">
        <v>4.9727389095123309</v>
      </c>
    </row>
    <row r="160" spans="1:17" ht="38.25" x14ac:dyDescent="0.25">
      <c r="A160" s="371" t="s">
        <v>1130</v>
      </c>
      <c r="B160" s="372" t="s">
        <v>1129</v>
      </c>
      <c r="C160" s="329">
        <v>2.125</v>
      </c>
      <c r="D160" s="329">
        <v>2.1950000000000003</v>
      </c>
      <c r="E160" s="329">
        <v>2.4300000000000002</v>
      </c>
      <c r="F160" s="329">
        <v>2.5758000000000001</v>
      </c>
      <c r="G160" s="329">
        <v>2.70459</v>
      </c>
      <c r="H160" s="329">
        <v>2.8398195000000004</v>
      </c>
      <c r="I160" s="329">
        <v>2.9818104750000005</v>
      </c>
      <c r="J160" s="329">
        <v>3.1309009987500005</v>
      </c>
      <c r="K160" s="329">
        <v>3.2874460486875008</v>
      </c>
      <c r="L160" s="329">
        <v>3.4518183511218758</v>
      </c>
      <c r="M160" s="329">
        <v>3.6244092686779696</v>
      </c>
      <c r="N160" s="329">
        <v>3.8056297321118682</v>
      </c>
      <c r="O160" s="329">
        <v>3.9959112187174619</v>
      </c>
      <c r="P160" s="329">
        <v>4.1957067796533352</v>
      </c>
      <c r="Q160" s="329">
        <v>4.4054921186360021</v>
      </c>
    </row>
    <row r="161" spans="1:17" x14ac:dyDescent="0.25">
      <c r="A161" s="373"/>
      <c r="B161" s="373"/>
      <c r="C161" s="374"/>
      <c r="D161" s="374"/>
      <c r="E161" s="374"/>
      <c r="F161" s="374"/>
      <c r="G161" s="374"/>
      <c r="H161" s="374"/>
      <c r="I161" s="374"/>
      <c r="J161" s="374"/>
      <c r="K161" s="374"/>
      <c r="L161" s="374"/>
      <c r="M161" s="374"/>
      <c r="N161" s="374"/>
      <c r="O161" s="374"/>
      <c r="P161" s="374"/>
      <c r="Q161" s="374"/>
    </row>
    <row r="162" spans="1:17" ht="25.5" x14ac:dyDescent="0.25">
      <c r="A162" s="375" t="s">
        <v>1131</v>
      </c>
      <c r="B162" s="326" t="s">
        <v>1132</v>
      </c>
      <c r="C162" s="348" t="e">
        <f t="shared" ref="C162" si="16">C132+C137+C142+C150+C155</f>
        <v>#VALUE!</v>
      </c>
      <c r="D162" s="348">
        <v>625.49451902106864</v>
      </c>
      <c r="E162" s="348">
        <v>690.27279752386573</v>
      </c>
      <c r="F162" s="348">
        <v>741.1552924016753</v>
      </c>
      <c r="G162" s="348">
        <v>821.47704913556993</v>
      </c>
      <c r="H162" s="348">
        <v>898.22501268118026</v>
      </c>
      <c r="I162" s="348">
        <v>972.86143537214843</v>
      </c>
      <c r="J162" s="348">
        <v>1052.0896523213864</v>
      </c>
      <c r="K162" s="348">
        <v>1132.3273730809638</v>
      </c>
      <c r="L162" s="348">
        <v>1213.6675674002242</v>
      </c>
      <c r="M162" s="348">
        <v>1305.380470229532</v>
      </c>
      <c r="N162" s="348">
        <v>1395.5046352263744</v>
      </c>
      <c r="O162" s="348">
        <v>1491.3999679621149</v>
      </c>
      <c r="P162" s="348">
        <v>1591.9591552035888</v>
      </c>
      <c r="Q162" s="348">
        <v>1698.5249788664094</v>
      </c>
    </row>
    <row r="163" spans="1:17" ht="25.5" x14ac:dyDescent="0.25">
      <c r="A163" s="375" t="s">
        <v>1133</v>
      </c>
      <c r="B163" s="326" t="s">
        <v>1132</v>
      </c>
      <c r="C163" s="343">
        <f>C121*30.04*12*0.918/1000000</f>
        <v>369.97659516939439</v>
      </c>
      <c r="D163" s="343">
        <v>386.32858791259889</v>
      </c>
      <c r="E163" s="343">
        <v>407.84105840493601</v>
      </c>
      <c r="F163" s="343">
        <v>427.90683847845884</v>
      </c>
      <c r="G163" s="343">
        <v>445.04022829113637</v>
      </c>
      <c r="H163" s="343">
        <v>462.97534949126918</v>
      </c>
      <c r="I163" s="343">
        <v>481.37861963354709</v>
      </c>
      <c r="J163" s="343">
        <v>500.45565432962445</v>
      </c>
      <c r="K163" s="343">
        <v>520.24867545836105</v>
      </c>
      <c r="L163" s="343">
        <v>540.80370062572081</v>
      </c>
      <c r="M163" s="343">
        <v>562.19248698546801</v>
      </c>
      <c r="N163" s="343">
        <v>584.47779716957189</v>
      </c>
      <c r="O163" s="343">
        <v>607.68156571720397</v>
      </c>
      <c r="P163" s="343">
        <v>631.87944566406304</v>
      </c>
      <c r="Q163" s="343">
        <v>657.11039192942906</v>
      </c>
    </row>
    <row r="164" spans="1:17" ht="25.5" x14ac:dyDescent="0.25">
      <c r="A164" s="375" t="s">
        <v>1134</v>
      </c>
      <c r="B164" s="326" t="s">
        <v>1132</v>
      </c>
      <c r="C164" s="343" t="e">
        <f t="shared" ref="C164" si="17">C163+C146</f>
        <v>#VALUE!</v>
      </c>
      <c r="D164" s="343">
        <v>469.90787455259886</v>
      </c>
      <c r="E164" s="343">
        <v>524.80948382493602</v>
      </c>
      <c r="F164" s="343">
        <v>552.46646047845888</v>
      </c>
      <c r="G164" s="343">
        <v>586.37313352113642</v>
      </c>
      <c r="H164" s="343">
        <v>614.88640421126911</v>
      </c>
      <c r="I164" s="343">
        <v>631.27730597354707</v>
      </c>
      <c r="J164" s="343">
        <v>660.25761609962444</v>
      </c>
      <c r="K164" s="343">
        <v>690.53499799196106</v>
      </c>
      <c r="L164" s="343">
        <v>722.1536200348728</v>
      </c>
      <c r="M164" s="343">
        <v>755.2186329041624</v>
      </c>
      <c r="N164" s="343">
        <v>789.8296306561906</v>
      </c>
      <c r="O164" s="343">
        <v>826.02912029243589</v>
      </c>
      <c r="P164" s="343">
        <v>863.93680281634909</v>
      </c>
      <c r="Q164" s="343">
        <v>903.62808598194079</v>
      </c>
    </row>
    <row r="165" spans="1:17" x14ac:dyDescent="0.25">
      <c r="A165" s="375" t="s">
        <v>1135</v>
      </c>
      <c r="B165" s="326" t="s">
        <v>1136</v>
      </c>
      <c r="C165" s="348" t="e">
        <f t="shared" ref="C165" si="18">(C164+C162)/C130/12*1000</f>
        <v>#VALUE!</v>
      </c>
      <c r="D165" s="348">
        <v>2263.6957916380811</v>
      </c>
      <c r="E165" s="348">
        <v>2440.5711581158093</v>
      </c>
      <c r="F165" s="348">
        <v>2527.4145485665999</v>
      </c>
      <c r="G165" s="348">
        <v>2677.4578610325784</v>
      </c>
      <c r="H165" s="348">
        <v>2803.1794512109459</v>
      </c>
      <c r="I165" s="348">
        <v>2896.8540815124738</v>
      </c>
      <c r="J165" s="348">
        <v>3016.1827457567301</v>
      </c>
      <c r="K165" s="348">
        <v>3133.681229281287</v>
      </c>
      <c r="L165" s="348">
        <v>3249.8324359124495</v>
      </c>
      <c r="M165" s="348">
        <v>3380.0482634452269</v>
      </c>
      <c r="N165" s="348">
        <v>3504.2947356747818</v>
      </c>
      <c r="O165" s="348">
        <v>3634.703957838577</v>
      </c>
      <c r="P165" s="348">
        <v>3769.3015415806231</v>
      </c>
      <c r="Q165" s="348">
        <v>3909.8842202153319</v>
      </c>
    </row>
    <row r="166" spans="1:17" x14ac:dyDescent="0.25">
      <c r="A166" s="375" t="s">
        <v>1137</v>
      </c>
      <c r="B166" s="326"/>
      <c r="C166" s="343"/>
      <c r="D166" s="376">
        <v>0.98845472793045097</v>
      </c>
      <c r="E166" s="376">
        <v>1.0781356607769879</v>
      </c>
      <c r="F166" s="376">
        <v>1.0355832240998193</v>
      </c>
      <c r="G166" s="376">
        <v>1.0593663245909042</v>
      </c>
      <c r="H166" s="376">
        <v>1.0469555812653881</v>
      </c>
      <c r="I166" s="376">
        <v>1.0334172791759948</v>
      </c>
      <c r="J166" s="376">
        <v>1.0411925008600895</v>
      </c>
      <c r="K166" s="376">
        <v>1.038956022704479</v>
      </c>
      <c r="L166" s="376">
        <v>1.0370654186347479</v>
      </c>
      <c r="M166" s="376">
        <v>1.040068474329267</v>
      </c>
      <c r="N166" s="376">
        <v>1.0367587864271832</v>
      </c>
      <c r="O166" s="376">
        <v>1.0372141135379367</v>
      </c>
      <c r="P166" s="376">
        <v>1.037031237014991</v>
      </c>
      <c r="Q166" s="376">
        <v>1.0372967450557846</v>
      </c>
    </row>
    <row r="167" spans="1:17" x14ac:dyDescent="0.25">
      <c r="A167" s="375" t="s">
        <v>1138</v>
      </c>
      <c r="B167" s="326"/>
      <c r="C167" s="338">
        <v>1.0444053638162234</v>
      </c>
      <c r="D167" s="338">
        <v>1.1014523258261419</v>
      </c>
      <c r="E167" s="338">
        <v>1.04</v>
      </c>
      <c r="F167" s="338">
        <v>1.0249999999999999</v>
      </c>
      <c r="G167" s="338">
        <v>1.0249999999999999</v>
      </c>
      <c r="H167" s="338">
        <v>1.0249999999999999</v>
      </c>
      <c r="I167" s="338">
        <v>1.0229999999999999</v>
      </c>
      <c r="J167" s="338">
        <v>1.0229999999999999</v>
      </c>
      <c r="K167" s="338">
        <v>1.0229999999999999</v>
      </c>
      <c r="L167" s="338">
        <v>1.0229999999999999</v>
      </c>
      <c r="M167" s="338">
        <v>1.0209999999999999</v>
      </c>
      <c r="N167" s="338">
        <v>1.0209999999999999</v>
      </c>
      <c r="O167" s="338">
        <v>1.0209999999999999</v>
      </c>
      <c r="P167" s="338">
        <v>1.0209999999999999</v>
      </c>
      <c r="Q167" s="338">
        <v>1.0209999999999999</v>
      </c>
    </row>
    <row r="168" spans="1:17" x14ac:dyDescent="0.25">
      <c r="A168" s="375" t="s">
        <v>1139</v>
      </c>
      <c r="B168" s="326" t="s">
        <v>1136</v>
      </c>
      <c r="C168" s="343" t="e">
        <f>C28*1000</f>
        <v>#VALUE!</v>
      </c>
      <c r="D168" s="343">
        <v>62796.000000000007</v>
      </c>
      <c r="E168" s="343">
        <v>65307.840000000011</v>
      </c>
      <c r="F168" s="343">
        <v>66940.536000000007</v>
      </c>
      <c r="G168" s="343">
        <v>68614.049400000004</v>
      </c>
      <c r="H168" s="343">
        <v>70329.400634999998</v>
      </c>
      <c r="I168" s="343">
        <v>71946.976849604995</v>
      </c>
      <c r="J168" s="343">
        <v>73601.757317145908</v>
      </c>
      <c r="K168" s="343">
        <v>75294.597735440257</v>
      </c>
      <c r="L168" s="343">
        <v>77026.373483355375</v>
      </c>
      <c r="M168" s="343">
        <v>78643.927326505829</v>
      </c>
      <c r="N168" s="343">
        <v>80295.449800362447</v>
      </c>
      <c r="O168" s="343">
        <v>81981.654246170045</v>
      </c>
      <c r="P168" s="343">
        <v>83703.268985339615</v>
      </c>
      <c r="Q168" s="343">
        <v>85461.037634031745</v>
      </c>
    </row>
    <row r="169" spans="1:17" x14ac:dyDescent="0.25">
      <c r="A169" s="375" t="s">
        <v>1140</v>
      </c>
      <c r="B169" s="326" t="s">
        <v>122</v>
      </c>
      <c r="C169" s="349" t="e">
        <f>C165/C168</f>
        <v>#VALUE!</v>
      </c>
      <c r="D169" s="349">
        <v>3.6048407408721589E-2</v>
      </c>
      <c r="E169" s="349">
        <v>3.7370263020730876E-2</v>
      </c>
      <c r="F169" s="349">
        <v>3.7756114599479751E-2</v>
      </c>
      <c r="G169" s="349">
        <v>3.9022006199106188E-2</v>
      </c>
      <c r="H169" s="349">
        <v>3.9857860665684683E-2</v>
      </c>
      <c r="I169" s="349">
        <v>4.0263735995022261E-2</v>
      </c>
      <c r="J169" s="349">
        <v>4.0979765371092505E-2</v>
      </c>
      <c r="K169" s="349">
        <v>4.1618938456806455E-2</v>
      </c>
      <c r="L169" s="349">
        <v>4.2191165037968527E-2</v>
      </c>
      <c r="M169" s="349">
        <v>4.2979138737722085E-2</v>
      </c>
      <c r="N169" s="349">
        <v>4.3642507070917033E-2</v>
      </c>
      <c r="O169" s="349">
        <v>4.4335577163696724E-2</v>
      </c>
      <c r="P169" s="349">
        <v>4.5031712468013706E-2</v>
      </c>
      <c r="Q169" s="349">
        <v>4.5750488508676412E-2</v>
      </c>
    </row>
    <row r="170" spans="1:17" x14ac:dyDescent="0.25">
      <c r="A170" s="375" t="s">
        <v>1141</v>
      </c>
      <c r="B170" s="326" t="s">
        <v>122</v>
      </c>
      <c r="C170" s="377">
        <v>105.48</v>
      </c>
      <c r="D170" s="377">
        <v>98.3</v>
      </c>
      <c r="E170" s="377">
        <v>98.165202352836815</v>
      </c>
      <c r="F170" s="377">
        <v>98.12585472326441</v>
      </c>
      <c r="G170" s="377">
        <v>97.996764066430941</v>
      </c>
      <c r="H170" s="377">
        <v>97.911526908573478</v>
      </c>
      <c r="I170" s="377">
        <v>97.870137335507209</v>
      </c>
      <c r="J170" s="377">
        <v>97.797119470078428</v>
      </c>
      <c r="K170" s="377">
        <v>97.731939107487008</v>
      </c>
      <c r="L170" s="377">
        <v>97.67358568667153</v>
      </c>
      <c r="M170" s="377">
        <v>97.593231221487699</v>
      </c>
      <c r="N170" s="377">
        <v>97.525583522522055</v>
      </c>
      <c r="O170" s="377">
        <v>97.454906954690358</v>
      </c>
      <c r="P170" s="377">
        <v>97.383917808616729</v>
      </c>
      <c r="Q170" s="377">
        <v>97.310619849113181</v>
      </c>
    </row>
    <row r="171" spans="1:17" x14ac:dyDescent="0.25">
      <c r="A171" s="375"/>
      <c r="B171" s="326"/>
      <c r="C171" s="378"/>
      <c r="D171" s="378"/>
      <c r="E171" s="378"/>
      <c r="F171" s="378"/>
      <c r="G171" s="378"/>
      <c r="H171" s="378"/>
      <c r="I171" s="378"/>
      <c r="J171" s="378"/>
      <c r="K171" s="378"/>
      <c r="L171" s="378"/>
      <c r="M171" s="378"/>
      <c r="N171" s="378"/>
      <c r="O171" s="378"/>
      <c r="P171" s="378"/>
      <c r="Q171" s="378"/>
    </row>
    <row r="172" spans="1:17" x14ac:dyDescent="0.25">
      <c r="A172" s="375" t="s">
        <v>1142</v>
      </c>
      <c r="B172" s="379"/>
      <c r="C172" s="380"/>
      <c r="D172" s="380"/>
      <c r="E172" s="380"/>
      <c r="F172" s="380"/>
      <c r="G172" s="380"/>
      <c r="H172" s="380"/>
      <c r="I172" s="380"/>
      <c r="J172" s="380"/>
      <c r="K172" s="380"/>
      <c r="L172" s="380"/>
      <c r="M172" s="380"/>
      <c r="N172" s="380"/>
      <c r="O172" s="380"/>
      <c r="P172" s="380"/>
      <c r="Q172" s="380"/>
    </row>
    <row r="173" spans="1:17" ht="38.25" x14ac:dyDescent="0.25">
      <c r="A173" s="375" t="s">
        <v>1143</v>
      </c>
      <c r="B173" s="313" t="s">
        <v>253</v>
      </c>
      <c r="C173" s="343" t="e">
        <f>SUM(C179:C181)</f>
        <v>#VALUE!</v>
      </c>
      <c r="D173" s="348">
        <v>0</v>
      </c>
      <c r="E173" s="348">
        <v>-1.4087666666653853E-3</v>
      </c>
      <c r="F173" s="348">
        <v>5.6948999999883393E-3</v>
      </c>
      <c r="G173" s="348">
        <v>-1.5757333333458615E-3</v>
      </c>
      <c r="H173" s="348">
        <v>-8.6023333333255141E-4</v>
      </c>
      <c r="I173" s="348">
        <v>-5.5919500000108082E-3</v>
      </c>
      <c r="J173" s="348">
        <v>-8.8736166666585972E-3</v>
      </c>
      <c r="K173" s="348">
        <v>-5.2424833333463271E-3</v>
      </c>
      <c r="L173" s="348">
        <v>-2.2932000000251869E-3</v>
      </c>
      <c r="M173" s="348">
        <v>8.8686666666390676E-3</v>
      </c>
      <c r="N173" s="348">
        <v>2.115989999998075E-2</v>
      </c>
      <c r="O173" s="348">
        <v>2.0779099999991019E-2</v>
      </c>
      <c r="P173" s="348">
        <v>2.3127699999956404E-2</v>
      </c>
      <c r="Q173" s="348">
        <v>1.4564249999997451E-2</v>
      </c>
    </row>
    <row r="174" spans="1:17" x14ac:dyDescent="0.25">
      <c r="A174" s="375" t="s">
        <v>1144</v>
      </c>
      <c r="B174" s="321" t="s">
        <v>253</v>
      </c>
      <c r="C174" s="343" t="str">
        <f>[8]Доступность!C75</f>
        <v>млн руб.</v>
      </c>
      <c r="D174" s="348">
        <v>29.043822226885418</v>
      </c>
      <c r="E174" s="348">
        <v>34.773728850826373</v>
      </c>
      <c r="F174" s="348">
        <v>37.780004029491593</v>
      </c>
      <c r="G174" s="348">
        <v>43.709935137953202</v>
      </c>
      <c r="H174" s="348">
        <v>48.721731146788024</v>
      </c>
      <c r="I174" s="348">
        <v>52.522755428066986</v>
      </c>
      <c r="J174" s="348">
        <v>57.659169851269112</v>
      </c>
      <c r="K174" s="348">
        <v>62.84540854555744</v>
      </c>
      <c r="L174" s="348">
        <v>68.092557750398612</v>
      </c>
      <c r="M174" s="348">
        <v>74.401727755651024</v>
      </c>
      <c r="N174" s="348">
        <v>80.562831259373667</v>
      </c>
      <c r="O174" s="348">
        <v>87.212537132646332</v>
      </c>
      <c r="P174" s="348">
        <v>94.25975300880377</v>
      </c>
      <c r="Q174" s="348">
        <v>101.82000097649103</v>
      </c>
    </row>
    <row r="175" spans="1:17" x14ac:dyDescent="0.25">
      <c r="A175" s="375" t="s">
        <v>1145</v>
      </c>
      <c r="B175" s="321" t="s">
        <v>253</v>
      </c>
      <c r="C175" s="343" t="e">
        <f t="shared" ref="C175" si="19">C174+C173</f>
        <v>#VALUE!</v>
      </c>
      <c r="D175" s="348">
        <v>29.043822226885418</v>
      </c>
      <c r="E175" s="348">
        <v>34.772320084159709</v>
      </c>
      <c r="F175" s="348">
        <v>37.785698929491581</v>
      </c>
      <c r="G175" s="348">
        <v>43.708359404619856</v>
      </c>
      <c r="H175" s="348">
        <v>48.720870913454689</v>
      </c>
      <c r="I175" s="348">
        <v>52.517163478066976</v>
      </c>
      <c r="J175" s="348">
        <v>57.65029623460245</v>
      </c>
      <c r="K175" s="348">
        <v>62.840166062224093</v>
      </c>
      <c r="L175" s="348">
        <v>68.090264550398587</v>
      </c>
      <c r="M175" s="348">
        <v>74.410596422317667</v>
      </c>
      <c r="N175" s="348">
        <v>80.583991159373653</v>
      </c>
      <c r="O175" s="348">
        <v>87.233316232646317</v>
      </c>
      <c r="P175" s="348">
        <v>94.282880708803731</v>
      </c>
      <c r="Q175" s="348">
        <v>101.83456522649102</v>
      </c>
    </row>
    <row r="176" spans="1:17" x14ac:dyDescent="0.25">
      <c r="A176" s="375" t="s">
        <v>1146</v>
      </c>
      <c r="B176" s="326" t="s">
        <v>122</v>
      </c>
      <c r="C176" s="381" t="e">
        <f>(C162*1000/C130/12)/C168*100</f>
        <v>#VALUE!</v>
      </c>
      <c r="D176" s="382">
        <v>2.0584290655082853</v>
      </c>
      <c r="E176" s="382">
        <v>2.1229571359470478</v>
      </c>
      <c r="F176" s="382">
        <v>2.1631627710052483</v>
      </c>
      <c r="G176" s="382">
        <v>2.2769242706848596</v>
      </c>
      <c r="H176" s="382">
        <v>2.3660734432502184</v>
      </c>
      <c r="I176" s="382">
        <v>2.4418733232951171</v>
      </c>
      <c r="J176" s="382">
        <v>2.5178530019346672</v>
      </c>
      <c r="K176" s="382">
        <v>2.5852891584719999</v>
      </c>
      <c r="L176" s="382">
        <v>2.6451848429895057</v>
      </c>
      <c r="M176" s="382">
        <v>2.7227095387058329</v>
      </c>
      <c r="N176" s="382">
        <v>2.7869109939466514</v>
      </c>
      <c r="O176" s="382">
        <v>2.8532514197153365</v>
      </c>
      <c r="P176" s="382">
        <v>2.9190425068230037</v>
      </c>
      <c r="Q176" s="382">
        <v>2.986309628632712</v>
      </c>
    </row>
    <row r="177" spans="1:17" x14ac:dyDescent="0.25">
      <c r="A177" s="373"/>
      <c r="B177" s="373"/>
      <c r="C177" s="374"/>
      <c r="D177" s="374"/>
      <c r="E177" s="374"/>
      <c r="F177" s="374"/>
      <c r="G177" s="374"/>
      <c r="H177" s="374"/>
      <c r="I177" s="374"/>
      <c r="J177" s="374"/>
      <c r="K177" s="374"/>
      <c r="L177" s="374"/>
      <c r="M177" s="374"/>
      <c r="N177" s="374"/>
      <c r="O177" s="374"/>
      <c r="P177" s="374"/>
      <c r="Q177" s="374"/>
    </row>
    <row r="178" spans="1:17" x14ac:dyDescent="0.25">
      <c r="A178" s="383" t="s">
        <v>1147</v>
      </c>
      <c r="B178" s="384"/>
      <c r="C178" s="385"/>
      <c r="D178" s="385"/>
      <c r="E178" s="385"/>
      <c r="F178" s="385"/>
      <c r="G178" s="385"/>
      <c r="H178" s="385"/>
      <c r="I178" s="385"/>
      <c r="J178" s="385"/>
      <c r="K178" s="385"/>
      <c r="L178" s="385"/>
      <c r="M178" s="385"/>
      <c r="N178" s="385"/>
      <c r="O178" s="385"/>
      <c r="P178" s="385"/>
      <c r="Q178" s="385"/>
    </row>
    <row r="179" spans="1:17" x14ac:dyDescent="0.25">
      <c r="A179" s="386" t="s">
        <v>1148</v>
      </c>
      <c r="B179" s="313" t="s">
        <v>253</v>
      </c>
      <c r="C179" s="370" t="e">
        <f>C151*(C152-C153/1.2)/1000</f>
        <v>#VALUE!</v>
      </c>
      <c r="D179" s="370">
        <v>0</v>
      </c>
      <c r="E179" s="370">
        <v>0</v>
      </c>
      <c r="F179" s="370">
        <v>0</v>
      </c>
      <c r="G179" s="370">
        <v>0</v>
      </c>
      <c r="H179" s="370">
        <v>0</v>
      </c>
      <c r="I179" s="370">
        <v>0</v>
      </c>
      <c r="J179" s="370">
        <v>0</v>
      </c>
      <c r="K179" s="370">
        <v>0</v>
      </c>
      <c r="L179" s="370">
        <v>0</v>
      </c>
      <c r="M179" s="370">
        <v>0</v>
      </c>
      <c r="N179" s="370">
        <v>0</v>
      </c>
      <c r="O179" s="370">
        <v>0</v>
      </c>
      <c r="P179" s="370">
        <v>0</v>
      </c>
      <c r="Q179" s="370">
        <v>0</v>
      </c>
    </row>
    <row r="180" spans="1:17" x14ac:dyDescent="0.25">
      <c r="A180" s="386" t="s">
        <v>1149</v>
      </c>
      <c r="B180" s="313" t="s">
        <v>253</v>
      </c>
      <c r="C180" s="317" t="e">
        <f>C133*(C134-C135/1.2)/1000</f>
        <v>#VALUE!</v>
      </c>
      <c r="D180" s="317">
        <v>0</v>
      </c>
      <c r="E180" s="317">
        <v>-1.4087666666653853E-3</v>
      </c>
      <c r="F180" s="317">
        <v>-3.0413666666703832E-3</v>
      </c>
      <c r="G180" s="317">
        <v>-6.5493333333413372E-3</v>
      </c>
      <c r="H180" s="317">
        <v>-3.5037999999968138E-3</v>
      </c>
      <c r="I180" s="317">
        <v>-5.5919500000108082E-3</v>
      </c>
      <c r="J180" s="317">
        <v>-5.9268999999946108E-3</v>
      </c>
      <c r="K180" s="317">
        <v>-8.3323333333435168E-3</v>
      </c>
      <c r="L180" s="317">
        <v>-8.6905999999920946E-3</v>
      </c>
      <c r="M180" s="317">
        <v>-4.5820000000153663E-3</v>
      </c>
      <c r="N180" s="317">
        <v>0</v>
      </c>
      <c r="O180" s="317">
        <v>-5.055333333350287E-3</v>
      </c>
      <c r="P180" s="317">
        <v>-2.25611529458547E-14</v>
      </c>
      <c r="Q180" s="317">
        <v>-5.5286666666852077E-3</v>
      </c>
    </row>
    <row r="181" spans="1:17" x14ac:dyDescent="0.25">
      <c r="A181" s="386" t="s">
        <v>1150</v>
      </c>
      <c r="B181" s="313" t="s">
        <v>253</v>
      </c>
      <c r="C181" s="317" t="e">
        <f>C138*(C139-C140/1.2)/1000</f>
        <v>#VALUE!</v>
      </c>
      <c r="D181" s="317">
        <v>0</v>
      </c>
      <c r="E181" s="317">
        <v>0</v>
      </c>
      <c r="F181" s="317">
        <v>8.7362666666587225E-3</v>
      </c>
      <c r="G181" s="317">
        <v>4.9735999999954757E-3</v>
      </c>
      <c r="H181" s="317">
        <v>2.6435666666642624E-3</v>
      </c>
      <c r="I181" s="317">
        <v>0</v>
      </c>
      <c r="J181" s="317">
        <v>-2.9467166666639864E-3</v>
      </c>
      <c r="K181" s="317">
        <v>3.0898499999971901E-3</v>
      </c>
      <c r="L181" s="317">
        <v>6.3973999999669077E-3</v>
      </c>
      <c r="M181" s="317">
        <v>1.3450666666654433E-2</v>
      </c>
      <c r="N181" s="317">
        <v>2.115989999998075E-2</v>
      </c>
      <c r="O181" s="317">
        <v>2.5834433333341306E-2</v>
      </c>
      <c r="P181" s="317">
        <v>2.3127699999978966E-2</v>
      </c>
      <c r="Q181" s="317">
        <v>2.0092916666682659E-2</v>
      </c>
    </row>
    <row r="182" spans="1:17" x14ac:dyDescent="0.25">
      <c r="C182" s="324"/>
      <c r="D182" s="324"/>
      <c r="E182" s="324"/>
      <c r="F182" s="324"/>
      <c r="G182" s="324"/>
      <c r="H182" s="324"/>
      <c r="I182" s="324"/>
      <c r="J182" s="324"/>
      <c r="K182" s="324"/>
      <c r="L182" s="324"/>
      <c r="M182" s="324"/>
      <c r="N182" s="324"/>
      <c r="O182" s="324"/>
      <c r="P182" s="324"/>
      <c r="Q182" s="324"/>
    </row>
    <row r="183" spans="1:17" x14ac:dyDescent="0.25">
      <c r="C183" s="324"/>
      <c r="D183" s="324"/>
      <c r="E183" s="324"/>
      <c r="F183" s="324"/>
      <c r="G183" s="324"/>
      <c r="H183" s="324"/>
      <c r="I183" s="324"/>
      <c r="J183" s="324"/>
      <c r="K183" s="324"/>
      <c r="L183" s="324"/>
      <c r="M183" s="324"/>
      <c r="N183" s="324"/>
      <c r="O183" s="324"/>
      <c r="P183" s="324"/>
      <c r="Q183" s="324"/>
    </row>
    <row r="184" spans="1:17" x14ac:dyDescent="0.25">
      <c r="A184" s="327" t="s">
        <v>1151</v>
      </c>
      <c r="B184" s="387"/>
      <c r="C184" s="323">
        <v>2021</v>
      </c>
      <c r="D184" s="323">
        <v>2022</v>
      </c>
      <c r="E184" s="323">
        <v>2023</v>
      </c>
      <c r="F184" s="323">
        <v>2024</v>
      </c>
      <c r="G184" s="323">
        <v>2025</v>
      </c>
      <c r="H184" s="323">
        <v>2026</v>
      </c>
      <c r="I184" s="323">
        <v>2027</v>
      </c>
      <c r="J184" s="323">
        <v>2028</v>
      </c>
      <c r="K184" s="323">
        <v>2029</v>
      </c>
      <c r="L184" s="323">
        <v>2030</v>
      </c>
      <c r="M184" s="323">
        <v>2031</v>
      </c>
      <c r="N184" s="323">
        <v>2032</v>
      </c>
      <c r="O184" s="323">
        <v>2033</v>
      </c>
      <c r="P184" s="323">
        <v>2034</v>
      </c>
      <c r="Q184" s="323">
        <v>2035</v>
      </c>
    </row>
    <row r="185" spans="1:17" x14ac:dyDescent="0.25">
      <c r="A185" s="172" t="s">
        <v>1152</v>
      </c>
      <c r="B185" s="388" t="s">
        <v>122</v>
      </c>
      <c r="C185" s="389" t="e">
        <f>C176</f>
        <v>#VALUE!</v>
      </c>
      <c r="D185" s="389">
        <v>2.0584290655082853</v>
      </c>
      <c r="E185" s="389">
        <v>2.1229571359470478</v>
      </c>
      <c r="F185" s="389">
        <v>2.1631627710052483</v>
      </c>
      <c r="G185" s="389">
        <v>2.2769242706848596</v>
      </c>
      <c r="H185" s="389">
        <v>2.3660734432502184</v>
      </c>
      <c r="I185" s="389">
        <v>2.4418733232951171</v>
      </c>
      <c r="J185" s="389">
        <v>2.5178530019346672</v>
      </c>
      <c r="K185" s="389">
        <v>2.5852891584719999</v>
      </c>
      <c r="L185" s="389">
        <v>2.6451848429895057</v>
      </c>
      <c r="M185" s="389">
        <v>2.7227095387058329</v>
      </c>
      <c r="N185" s="389">
        <v>2.7869109939466514</v>
      </c>
      <c r="O185" s="389">
        <v>2.8532514197153365</v>
      </c>
      <c r="P185" s="389">
        <v>2.9190425068230037</v>
      </c>
      <c r="Q185" s="389">
        <v>2.986309628632712</v>
      </c>
    </row>
    <row r="186" spans="1:17" ht="24" x14ac:dyDescent="0.25">
      <c r="A186" s="172" t="s">
        <v>382</v>
      </c>
      <c r="B186" s="390"/>
      <c r="C186" s="391" t="s">
        <v>383</v>
      </c>
      <c r="D186" s="391" t="s">
        <v>383</v>
      </c>
      <c r="E186" s="391" t="s">
        <v>383</v>
      </c>
      <c r="F186" s="391" t="s">
        <v>383</v>
      </c>
      <c r="G186" s="391" t="s">
        <v>383</v>
      </c>
      <c r="H186" s="391" t="s">
        <v>383</v>
      </c>
      <c r="I186" s="391" t="s">
        <v>383</v>
      </c>
      <c r="J186" s="391" t="s">
        <v>383</v>
      </c>
      <c r="K186" s="391" t="s">
        <v>383</v>
      </c>
      <c r="L186" s="391" t="s">
        <v>383</v>
      </c>
      <c r="M186" s="391" t="s">
        <v>383</v>
      </c>
      <c r="N186" s="391" t="s">
        <v>383</v>
      </c>
      <c r="O186" s="391" t="s">
        <v>383</v>
      </c>
      <c r="P186" s="391" t="s">
        <v>383</v>
      </c>
      <c r="Q186" s="391" t="s">
        <v>383</v>
      </c>
    </row>
    <row r="187" spans="1:17" x14ac:dyDescent="0.25">
      <c r="A187" s="172" t="s">
        <v>1073</v>
      </c>
      <c r="B187" s="388" t="s">
        <v>122</v>
      </c>
      <c r="C187" s="392">
        <f t="shared" ref="C187" si="20">C107</f>
        <v>8.1125000000000007</v>
      </c>
      <c r="D187" s="392">
        <v>7.8609375000000004</v>
      </c>
      <c r="E187" s="392">
        <v>7.6408203125000007</v>
      </c>
      <c r="F187" s="392">
        <v>7.4482177734375004</v>
      </c>
      <c r="G187" s="392">
        <v>7.2796905517578132</v>
      </c>
      <c r="H187" s="392">
        <v>7.1322292327880863</v>
      </c>
      <c r="I187" s="392">
        <v>7.0032005786895759</v>
      </c>
      <c r="J187" s="392">
        <v>6.8903005063533787</v>
      </c>
      <c r="K187" s="392">
        <v>6.7915129430592067</v>
      </c>
      <c r="L187" s="392">
        <v>6.7050738251768056</v>
      </c>
      <c r="M187" s="392">
        <v>6.6294395970297053</v>
      </c>
      <c r="N187" s="392">
        <v>6.5632596474009919</v>
      </c>
      <c r="O187" s="392">
        <v>6.5053521914758683</v>
      </c>
      <c r="P187" s="392">
        <v>6.4546831675413845</v>
      </c>
      <c r="Q187" s="392">
        <v>6.4103477715987118</v>
      </c>
    </row>
    <row r="188" spans="1:17" x14ac:dyDescent="0.25">
      <c r="A188" s="172" t="s">
        <v>382</v>
      </c>
      <c r="B188" s="390"/>
      <c r="C188" s="393" t="s">
        <v>386</v>
      </c>
      <c r="D188" s="391" t="s">
        <v>384</v>
      </c>
      <c r="E188" s="391" t="s">
        <v>384</v>
      </c>
      <c r="F188" s="391" t="s">
        <v>384</v>
      </c>
      <c r="G188" s="391" t="s">
        <v>384</v>
      </c>
      <c r="H188" s="391" t="s">
        <v>384</v>
      </c>
      <c r="I188" s="391" t="s">
        <v>384</v>
      </c>
      <c r="J188" s="391" t="s">
        <v>384</v>
      </c>
      <c r="K188" s="391" t="s">
        <v>384</v>
      </c>
      <c r="L188" s="391" t="s">
        <v>384</v>
      </c>
      <c r="M188" s="391" t="s">
        <v>384</v>
      </c>
      <c r="N188" s="391" t="s">
        <v>384</v>
      </c>
      <c r="O188" s="391" t="s">
        <v>384</v>
      </c>
      <c r="P188" s="391" t="s">
        <v>384</v>
      </c>
      <c r="Q188" s="391" t="s">
        <v>384</v>
      </c>
    </row>
    <row r="189" spans="1:17" x14ac:dyDescent="0.25">
      <c r="A189" s="172" t="s">
        <v>1153</v>
      </c>
      <c r="B189" s="388" t="s">
        <v>122</v>
      </c>
      <c r="C189" s="389">
        <f t="shared" ref="C189" si="21">C170</f>
        <v>105.48</v>
      </c>
      <c r="D189" s="389">
        <v>98.3</v>
      </c>
      <c r="E189" s="389">
        <v>98.165202352836815</v>
      </c>
      <c r="F189" s="389">
        <v>98.12585472326441</v>
      </c>
      <c r="G189" s="389">
        <v>97.996764066430941</v>
      </c>
      <c r="H189" s="389">
        <v>97.911526908573478</v>
      </c>
      <c r="I189" s="389">
        <v>97.870137335507209</v>
      </c>
      <c r="J189" s="389">
        <v>97.797119470078428</v>
      </c>
      <c r="K189" s="389">
        <v>97.731939107487008</v>
      </c>
      <c r="L189" s="389">
        <v>97.67358568667153</v>
      </c>
      <c r="M189" s="389">
        <v>97.593231221487699</v>
      </c>
      <c r="N189" s="389">
        <v>97.525583522522055</v>
      </c>
      <c r="O189" s="389">
        <v>97.454906954690358</v>
      </c>
      <c r="P189" s="389">
        <v>97.383917808616729</v>
      </c>
      <c r="Q189" s="389">
        <v>97.310619849113181</v>
      </c>
    </row>
    <row r="190" spans="1:17" x14ac:dyDescent="0.25">
      <c r="A190" s="172" t="s">
        <v>382</v>
      </c>
      <c r="B190" s="390"/>
      <c r="C190" s="391" t="s">
        <v>385</v>
      </c>
      <c r="D190" s="391" t="s">
        <v>385</v>
      </c>
      <c r="E190" s="391" t="s">
        <v>385</v>
      </c>
      <c r="F190" s="391" t="s">
        <v>385</v>
      </c>
      <c r="G190" s="391" t="s">
        <v>385</v>
      </c>
      <c r="H190" s="391" t="s">
        <v>385</v>
      </c>
      <c r="I190" s="391" t="s">
        <v>385</v>
      </c>
      <c r="J190" s="391" t="s">
        <v>385</v>
      </c>
      <c r="K190" s="391" t="s">
        <v>385</v>
      </c>
      <c r="L190" s="391" t="s">
        <v>385</v>
      </c>
      <c r="M190" s="391" t="s">
        <v>385</v>
      </c>
      <c r="N190" s="391" t="s">
        <v>385</v>
      </c>
      <c r="O190" s="391" t="s">
        <v>385</v>
      </c>
      <c r="P190" s="391" t="s">
        <v>385</v>
      </c>
      <c r="Q190" s="391" t="s">
        <v>385</v>
      </c>
    </row>
    <row r="191" spans="1:17" ht="25.5" x14ac:dyDescent="0.25">
      <c r="A191" s="172" t="s">
        <v>230</v>
      </c>
      <c r="B191" s="388" t="s">
        <v>122</v>
      </c>
      <c r="C191" s="389" t="e">
        <f>C96*100</f>
        <v>#VALUE!</v>
      </c>
      <c r="D191" s="389">
        <v>8.6</v>
      </c>
      <c r="E191" s="389">
        <v>8.6</v>
      </c>
      <c r="F191" s="389">
        <v>8.6</v>
      </c>
      <c r="G191" s="389">
        <v>8.6</v>
      </c>
      <c r="H191" s="389">
        <v>8.6000000000000014</v>
      </c>
      <c r="I191" s="389">
        <v>8.6000000000000014</v>
      </c>
      <c r="J191" s="389">
        <v>8.5999999999999979</v>
      </c>
      <c r="K191" s="389">
        <v>8.5999999999999979</v>
      </c>
      <c r="L191" s="389">
        <v>8.6</v>
      </c>
      <c r="M191" s="389">
        <v>8.5999999999999979</v>
      </c>
      <c r="N191" s="389">
        <v>8.6000000000000014</v>
      </c>
      <c r="O191" s="389">
        <v>8.5999999999999979</v>
      </c>
      <c r="P191" s="389">
        <v>8.6</v>
      </c>
      <c r="Q191" s="389">
        <v>8.6</v>
      </c>
    </row>
    <row r="192" spans="1:17" x14ac:dyDescent="0.25">
      <c r="A192" s="172" t="s">
        <v>382</v>
      </c>
      <c r="B192" s="390"/>
      <c r="C192" s="391" t="s">
        <v>384</v>
      </c>
      <c r="D192" s="391" t="s">
        <v>384</v>
      </c>
      <c r="E192" s="391" t="s">
        <v>384</v>
      </c>
      <c r="F192" s="391" t="s">
        <v>384</v>
      </c>
      <c r="G192" s="391" t="s">
        <v>384</v>
      </c>
      <c r="H192" s="391" t="s">
        <v>384</v>
      </c>
      <c r="I192" s="391" t="s">
        <v>384</v>
      </c>
      <c r="J192" s="391" t="s">
        <v>384</v>
      </c>
      <c r="K192" s="391" t="s">
        <v>384</v>
      </c>
      <c r="L192" s="391" t="s">
        <v>384</v>
      </c>
      <c r="M192" s="391" t="s">
        <v>384</v>
      </c>
      <c r="N192" s="391" t="s">
        <v>384</v>
      </c>
      <c r="O192" s="391" t="s">
        <v>384</v>
      </c>
      <c r="P192" s="391" t="s">
        <v>384</v>
      </c>
      <c r="Q192" s="391" t="s">
        <v>384</v>
      </c>
    </row>
  </sheetData>
  <mergeCells count="2">
    <mergeCell ref="C113:D113"/>
    <mergeCell ref="F113:Q1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6:AK152"/>
  <sheetViews>
    <sheetView zoomScaleNormal="100" workbookViewId="0">
      <pane ySplit="4" topLeftCell="A5" activePane="bottomLeft" state="frozen"/>
      <selection activeCell="G578" sqref="G578"/>
      <selection pane="bottomLeft" activeCell="B36" sqref="B36"/>
    </sheetView>
  </sheetViews>
  <sheetFormatPr defaultColWidth="9.33203125" defaultRowHeight="12.75" x14ac:dyDescent="0.2"/>
  <cols>
    <col min="1" max="1" width="9" customWidth="1"/>
    <col min="2" max="2" width="42.6640625" customWidth="1"/>
    <col min="3" max="38" width="9" customWidth="1"/>
  </cols>
  <sheetData>
    <row r="6" spans="2:12" ht="13.15" customHeight="1" x14ac:dyDescent="0.2"/>
    <row r="9" spans="2:12" ht="15.75" x14ac:dyDescent="0.25">
      <c r="B9" s="105"/>
    </row>
    <row r="10" spans="2:12" x14ac:dyDescent="0.2">
      <c r="C10" s="47"/>
    </row>
    <row r="14" spans="2:12" ht="13.5" customHeight="1" x14ac:dyDescent="0.2">
      <c r="B14" s="203"/>
      <c r="C14" s="203"/>
      <c r="D14" s="203"/>
      <c r="E14" s="203"/>
      <c r="F14" s="203"/>
      <c r="G14" s="203"/>
      <c r="H14" s="203"/>
      <c r="I14" s="204"/>
      <c r="J14" s="204"/>
      <c r="K14" s="204"/>
      <c r="L14" s="204"/>
    </row>
    <row r="16" spans="2:12" ht="15.75" x14ac:dyDescent="0.25">
      <c r="B16" s="105" t="s">
        <v>569</v>
      </c>
    </row>
    <row r="18" spans="2:16" x14ac:dyDescent="0.2">
      <c r="B18" s="218" t="s">
        <v>114</v>
      </c>
      <c r="C18" s="25">
        <v>2022</v>
      </c>
      <c r="D18" s="25">
        <v>2023</v>
      </c>
      <c r="E18" s="25">
        <v>2024</v>
      </c>
      <c r="F18" s="25">
        <v>2025</v>
      </c>
      <c r="G18" s="25">
        <v>2026</v>
      </c>
      <c r="H18" s="25">
        <v>2027</v>
      </c>
      <c r="I18" s="25">
        <v>2028</v>
      </c>
      <c r="J18" s="25">
        <v>2029</v>
      </c>
      <c r="K18" s="25">
        <v>2030</v>
      </c>
      <c r="L18" s="25">
        <v>2031</v>
      </c>
      <c r="M18" s="25">
        <v>2032</v>
      </c>
      <c r="N18" s="25">
        <v>2033</v>
      </c>
      <c r="O18" s="25">
        <v>2034</v>
      </c>
      <c r="P18" s="25">
        <v>2035</v>
      </c>
    </row>
    <row r="19" spans="2:16" x14ac:dyDescent="0.2">
      <c r="B19" s="219" t="s">
        <v>294</v>
      </c>
      <c r="C19" s="46">
        <v>40325</v>
      </c>
      <c r="D19" s="46">
        <v>41489</v>
      </c>
      <c r="E19" s="46">
        <v>42653</v>
      </c>
      <c r="F19" s="46">
        <v>43818</v>
      </c>
      <c r="G19" s="46">
        <v>44982</v>
      </c>
      <c r="H19" s="46">
        <v>46146</v>
      </c>
      <c r="I19" s="46">
        <v>47310</v>
      </c>
      <c r="J19" s="46">
        <v>48475</v>
      </c>
      <c r="K19" s="46">
        <v>49639</v>
      </c>
      <c r="L19" s="46">
        <v>50803</v>
      </c>
      <c r="M19" s="46">
        <v>51968</v>
      </c>
      <c r="N19" s="46">
        <v>53132</v>
      </c>
      <c r="O19" s="46">
        <v>54296</v>
      </c>
      <c r="P19" s="46">
        <v>55461</v>
      </c>
    </row>
    <row r="35" spans="1:37" x14ac:dyDescent="0.2">
      <c r="A35" s="2"/>
    </row>
    <row r="38" spans="1:37" s="2" customFormat="1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152" ht="13.15" customHeight="1" x14ac:dyDescent="0.2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275"/>
  <sheetViews>
    <sheetView zoomScale="110" zoomScaleNormal="110" workbookViewId="0">
      <pane ySplit="1" topLeftCell="A2" activePane="bottomLeft" state="frozen"/>
      <selection activeCell="H262" sqref="H262"/>
      <selection pane="bottomLeft" activeCell="Q9" sqref="Q9"/>
    </sheetView>
  </sheetViews>
  <sheetFormatPr defaultColWidth="9.33203125" defaultRowHeight="12.75" x14ac:dyDescent="0.2"/>
  <cols>
    <col min="1" max="6" width="8.33203125" customWidth="1"/>
    <col min="7" max="7" width="39" customWidth="1"/>
    <col min="8" max="10" width="8.33203125" customWidth="1"/>
    <col min="11" max="26" width="10.1640625" customWidth="1"/>
    <col min="27" max="30" width="8.33203125" customWidth="1"/>
  </cols>
  <sheetData>
    <row r="2" spans="7:12" ht="15" x14ac:dyDescent="0.25">
      <c r="G2" s="106" t="s">
        <v>296</v>
      </c>
    </row>
    <row r="3" spans="7:12" x14ac:dyDescent="0.2">
      <c r="G3" s="104" t="s">
        <v>85</v>
      </c>
      <c r="H3" s="104">
        <v>2019</v>
      </c>
      <c r="I3" s="104">
        <v>2020</v>
      </c>
      <c r="J3" s="104">
        <v>2021</v>
      </c>
      <c r="K3" s="104">
        <v>2022</v>
      </c>
    </row>
    <row r="4" spans="7:12" x14ac:dyDescent="0.2">
      <c r="G4" s="46" t="s">
        <v>295</v>
      </c>
      <c r="H4" s="228">
        <v>1097.7649999999999</v>
      </c>
      <c r="I4" s="228">
        <v>1118.0218190476189</v>
      </c>
      <c r="J4" s="228">
        <v>1138.3786380952381</v>
      </c>
      <c r="K4" s="228">
        <v>1167.4354571428571</v>
      </c>
    </row>
    <row r="5" spans="7:12" x14ac:dyDescent="0.2">
      <c r="G5" s="210"/>
      <c r="H5" s="210"/>
      <c r="I5" s="210"/>
      <c r="J5" s="210"/>
      <c r="K5" s="210"/>
    </row>
    <row r="7" spans="7:12" ht="15" x14ac:dyDescent="0.25">
      <c r="G7" s="106" t="s">
        <v>301</v>
      </c>
    </row>
    <row r="8" spans="7:12" x14ac:dyDescent="0.2">
      <c r="G8" s="104" t="s">
        <v>114</v>
      </c>
      <c r="H8" s="104">
        <v>2019</v>
      </c>
      <c r="I8" s="104">
        <v>2020</v>
      </c>
      <c r="J8" s="104">
        <v>2021</v>
      </c>
      <c r="K8" s="104">
        <v>2022</v>
      </c>
    </row>
    <row r="9" spans="7:12" ht="41.25" x14ac:dyDescent="0.2">
      <c r="G9" s="46" t="s">
        <v>302</v>
      </c>
      <c r="H9" s="211">
        <v>29.334749612527386</v>
      </c>
      <c r="I9" s="211">
        <v>29.447975005205155</v>
      </c>
      <c r="J9" s="211">
        <v>29.534522574077368</v>
      </c>
      <c r="K9" s="211">
        <v>30.038220947970078</v>
      </c>
    </row>
    <row r="10" spans="7:12" x14ac:dyDescent="0.2">
      <c r="G10" s="210"/>
      <c r="H10" s="210"/>
      <c r="I10" s="210"/>
      <c r="J10" s="210"/>
      <c r="K10" s="210"/>
    </row>
    <row r="12" spans="7:12" ht="15" x14ac:dyDescent="0.25">
      <c r="G12" s="106" t="s">
        <v>300</v>
      </c>
    </row>
    <row r="13" spans="7:12" x14ac:dyDescent="0.2">
      <c r="G13" s="104" t="s">
        <v>114</v>
      </c>
      <c r="H13" s="104">
        <v>2018</v>
      </c>
      <c r="I13" s="104">
        <v>2019</v>
      </c>
      <c r="J13" s="104">
        <v>2020</v>
      </c>
      <c r="K13" s="104">
        <v>2021</v>
      </c>
      <c r="L13" s="200"/>
    </row>
    <row r="14" spans="7:12" ht="38.25" x14ac:dyDescent="0.2">
      <c r="G14" s="46" t="s">
        <v>297</v>
      </c>
      <c r="H14" s="184">
        <v>3494</v>
      </c>
      <c r="I14" s="184">
        <v>9807</v>
      </c>
      <c r="J14" s="184">
        <v>20934</v>
      </c>
      <c r="K14" s="184">
        <v>4518</v>
      </c>
      <c r="L14" s="210"/>
    </row>
    <row r="15" spans="7:12" ht="51" x14ac:dyDescent="0.2">
      <c r="G15" s="46" t="s">
        <v>298</v>
      </c>
      <c r="H15" s="184">
        <v>10706</v>
      </c>
      <c r="I15" s="184">
        <v>9892.9999999999982</v>
      </c>
      <c r="J15" s="184">
        <v>7065.9999999999991</v>
      </c>
      <c r="K15" s="184">
        <v>23582</v>
      </c>
      <c r="L15" s="210"/>
    </row>
    <row r="16" spans="7:12" ht="38.25" x14ac:dyDescent="0.2">
      <c r="G16" s="46" t="s">
        <v>299</v>
      </c>
      <c r="H16" s="184">
        <v>288</v>
      </c>
      <c r="I16" s="184">
        <v>322</v>
      </c>
      <c r="J16" s="184">
        <v>327</v>
      </c>
      <c r="K16" s="184">
        <v>346</v>
      </c>
      <c r="L16" s="210"/>
    </row>
    <row r="18" spans="8:12" hidden="1" x14ac:dyDescent="0.2"/>
    <row r="21" spans="8:12" x14ac:dyDescent="0.2">
      <c r="L21" s="200"/>
    </row>
    <row r="22" spans="8:12" ht="49.5" customHeight="1" x14ac:dyDescent="0.2">
      <c r="L22" s="210"/>
    </row>
    <row r="24" spans="8:12" x14ac:dyDescent="0.2">
      <c r="H24" s="229"/>
      <c r="I24" s="229"/>
      <c r="J24" s="229"/>
      <c r="K24" s="229"/>
    </row>
    <row r="134" ht="13.15" customHeight="1" x14ac:dyDescent="0.2"/>
    <row r="179" ht="13.15" customHeight="1" x14ac:dyDescent="0.2"/>
    <row r="272" spans="1:26" x14ac:dyDescent="0.2">
      <c r="A272" s="2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x14ac:dyDescent="0.2">
      <c r="A273" s="2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x14ac:dyDescent="0.2">
      <c r="A274" s="2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x14ac:dyDescent="0.2">
      <c r="A275" s="2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2"/>
      <c r="R275" s="2"/>
      <c r="S275" s="2"/>
      <c r="T275" s="2"/>
      <c r="U275" s="2"/>
      <c r="V275" s="2"/>
      <c r="W275" s="2"/>
      <c r="X275" s="2"/>
      <c r="Y275" s="2"/>
      <c r="Z275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8"/>
  <sheetViews>
    <sheetView zoomScale="70" zoomScaleNormal="70" workbookViewId="0">
      <pane xSplit="2" ySplit="2" topLeftCell="C60" activePane="bottomRight" state="frozen"/>
      <selection pane="topRight" activeCell="C1" sqref="C1"/>
      <selection pane="bottomLeft" activeCell="A3" sqref="A3"/>
      <selection pane="bottomRight" activeCell="F94" sqref="F94"/>
    </sheetView>
  </sheetViews>
  <sheetFormatPr defaultColWidth="9.33203125" defaultRowHeight="15" x14ac:dyDescent="0.25"/>
  <cols>
    <col min="1" max="1" width="8.6640625" style="109" customWidth="1"/>
    <col min="2" max="2" width="63.6640625" style="109" customWidth="1"/>
    <col min="3" max="7" width="12" style="109" customWidth="1"/>
    <col min="8" max="21" width="12" style="92" customWidth="1"/>
    <col min="22" max="16384" width="9.33203125" style="92"/>
  </cols>
  <sheetData>
    <row r="1" spans="1:67" s="91" customFormat="1" x14ac:dyDescent="0.25">
      <c r="A1" s="397" t="s">
        <v>36</v>
      </c>
      <c r="B1" s="396" t="s">
        <v>37</v>
      </c>
      <c r="C1" s="396" t="s">
        <v>764</v>
      </c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</row>
    <row r="2" spans="1:67" x14ac:dyDescent="0.25">
      <c r="A2" s="397"/>
      <c r="B2" s="396"/>
      <c r="C2" s="201" t="s">
        <v>38</v>
      </c>
      <c r="D2" s="202">
        <v>2023</v>
      </c>
      <c r="E2" s="202">
        <v>2024</v>
      </c>
      <c r="F2" s="202">
        <v>2025</v>
      </c>
      <c r="G2" s="202">
        <v>2026</v>
      </c>
      <c r="H2" s="202">
        <v>2027</v>
      </c>
      <c r="I2" s="202">
        <v>2028</v>
      </c>
      <c r="J2" s="202">
        <v>2029</v>
      </c>
      <c r="K2" s="202">
        <v>2030</v>
      </c>
      <c r="L2" s="202">
        <v>2031</v>
      </c>
      <c r="M2" s="202">
        <v>2032</v>
      </c>
      <c r="N2" s="202">
        <v>2033</v>
      </c>
      <c r="O2" s="202">
        <v>2034</v>
      </c>
      <c r="P2" s="202">
        <v>2035</v>
      </c>
      <c r="Q2" s="202">
        <v>2036</v>
      </c>
      <c r="R2" s="202">
        <v>2037</v>
      </c>
      <c r="S2" s="202">
        <v>2038</v>
      </c>
      <c r="T2" s="202">
        <v>2039</v>
      </c>
      <c r="U2" s="202">
        <v>2040</v>
      </c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</row>
    <row r="3" spans="1:67" s="91" customFormat="1" x14ac:dyDescent="0.25">
      <c r="A3" s="202">
        <v>1</v>
      </c>
      <c r="B3" s="250" t="s">
        <v>293</v>
      </c>
      <c r="C3" s="251">
        <f t="shared" ref="C3:U3" si="0">SUM(C4:C26)</f>
        <v>313060.89999999991</v>
      </c>
      <c r="D3" s="251">
        <f t="shared" si="0"/>
        <v>14211.3</v>
      </c>
      <c r="E3" s="251">
        <f t="shared" si="0"/>
        <v>10859.2</v>
      </c>
      <c r="F3" s="251">
        <f t="shared" si="0"/>
        <v>17999.400000000005</v>
      </c>
      <c r="G3" s="251">
        <f t="shared" si="0"/>
        <v>17999.400000000005</v>
      </c>
      <c r="H3" s="251">
        <f t="shared" si="0"/>
        <v>17999.400000000005</v>
      </c>
      <c r="I3" s="251">
        <f t="shared" si="0"/>
        <v>17999.400000000005</v>
      </c>
      <c r="J3" s="251">
        <f t="shared" si="0"/>
        <v>17999.400000000005</v>
      </c>
      <c r="K3" s="251">
        <f t="shared" si="0"/>
        <v>17999.400000000005</v>
      </c>
      <c r="L3" s="251">
        <f t="shared" si="0"/>
        <v>17999.400000000005</v>
      </c>
      <c r="M3" s="251">
        <f t="shared" si="0"/>
        <v>17999.400000000005</v>
      </c>
      <c r="N3" s="251">
        <f t="shared" si="0"/>
        <v>17999.400000000005</v>
      </c>
      <c r="O3" s="251">
        <f t="shared" si="0"/>
        <v>17999.400000000005</v>
      </c>
      <c r="P3" s="251">
        <f t="shared" si="0"/>
        <v>17999.400000000005</v>
      </c>
      <c r="Q3" s="251">
        <f t="shared" si="0"/>
        <v>17999.400000000005</v>
      </c>
      <c r="R3" s="251">
        <f t="shared" si="0"/>
        <v>17999.400000000005</v>
      </c>
      <c r="S3" s="251">
        <f t="shared" si="0"/>
        <v>17999.400000000005</v>
      </c>
      <c r="T3" s="251">
        <f t="shared" si="0"/>
        <v>17999.400000000005</v>
      </c>
      <c r="U3" s="251">
        <f t="shared" si="0"/>
        <v>17999.400000000005</v>
      </c>
    </row>
    <row r="4" spans="1:67" x14ac:dyDescent="0.25">
      <c r="A4" s="107" t="s">
        <v>39</v>
      </c>
      <c r="B4" s="252" t="s">
        <v>670</v>
      </c>
      <c r="C4" s="245">
        <f>SUM(D4:U4)</f>
        <v>46580.80000000001</v>
      </c>
      <c r="D4" s="245">
        <v>2223.8000000000002</v>
      </c>
      <c r="E4" s="245">
        <v>1840.2</v>
      </c>
      <c r="F4" s="245">
        <v>2657.3</v>
      </c>
      <c r="G4" s="245">
        <v>2657.3</v>
      </c>
      <c r="H4" s="245">
        <v>2657.3</v>
      </c>
      <c r="I4" s="245">
        <v>2657.3</v>
      </c>
      <c r="J4" s="245">
        <v>2657.3</v>
      </c>
      <c r="K4" s="245">
        <v>2657.3</v>
      </c>
      <c r="L4" s="245">
        <v>2657.3</v>
      </c>
      <c r="M4" s="245">
        <v>2657.3</v>
      </c>
      <c r="N4" s="245">
        <v>2657.3</v>
      </c>
      <c r="O4" s="245">
        <v>2657.3</v>
      </c>
      <c r="P4" s="245">
        <v>2657.3</v>
      </c>
      <c r="Q4" s="245">
        <v>2657.3</v>
      </c>
      <c r="R4" s="245">
        <v>2657.3</v>
      </c>
      <c r="S4" s="245">
        <v>2657.3</v>
      </c>
      <c r="T4" s="245">
        <v>2657.3</v>
      </c>
      <c r="U4" s="245">
        <v>2657.3</v>
      </c>
    </row>
    <row r="5" spans="1:67" x14ac:dyDescent="0.25">
      <c r="A5" s="107" t="s">
        <v>40</v>
      </c>
      <c r="B5" s="249" t="s">
        <v>671</v>
      </c>
      <c r="C5" s="245">
        <f t="shared" ref="C5:C26" si="1">SUM(D5:U5)</f>
        <v>0</v>
      </c>
      <c r="D5" s="245">
        <v>0</v>
      </c>
      <c r="E5" s="245">
        <v>0</v>
      </c>
      <c r="F5" s="245">
        <v>0</v>
      </c>
      <c r="G5" s="245">
        <v>0</v>
      </c>
      <c r="H5" s="245">
        <v>0</v>
      </c>
      <c r="I5" s="245">
        <v>0</v>
      </c>
      <c r="J5" s="245">
        <v>0</v>
      </c>
      <c r="K5" s="245">
        <v>0</v>
      </c>
      <c r="L5" s="245">
        <v>0</v>
      </c>
      <c r="M5" s="245">
        <v>0</v>
      </c>
      <c r="N5" s="245">
        <v>0</v>
      </c>
      <c r="O5" s="245">
        <v>0</v>
      </c>
      <c r="P5" s="245">
        <v>0</v>
      </c>
      <c r="Q5" s="245">
        <v>0</v>
      </c>
      <c r="R5" s="245">
        <v>0</v>
      </c>
      <c r="S5" s="245">
        <v>0</v>
      </c>
      <c r="T5" s="245">
        <v>0</v>
      </c>
      <c r="U5" s="245">
        <v>0</v>
      </c>
    </row>
    <row r="6" spans="1:67" x14ac:dyDescent="0.25">
      <c r="A6" s="107" t="s">
        <v>41</v>
      </c>
      <c r="B6" s="249" t="s">
        <v>672</v>
      </c>
      <c r="C6" s="245">
        <f t="shared" si="1"/>
        <v>36040.700000000004</v>
      </c>
      <c r="D6" s="245">
        <v>1607</v>
      </c>
      <c r="E6" s="245">
        <v>1190.5</v>
      </c>
      <c r="F6" s="245">
        <v>2077.6999999999998</v>
      </c>
      <c r="G6" s="245">
        <v>2077.6999999999998</v>
      </c>
      <c r="H6" s="245">
        <v>2077.6999999999998</v>
      </c>
      <c r="I6" s="245">
        <v>2077.6999999999998</v>
      </c>
      <c r="J6" s="245">
        <v>2077.6999999999998</v>
      </c>
      <c r="K6" s="245">
        <v>2077.6999999999998</v>
      </c>
      <c r="L6" s="245">
        <v>2077.6999999999998</v>
      </c>
      <c r="M6" s="245">
        <v>2077.6999999999998</v>
      </c>
      <c r="N6" s="245">
        <v>2077.6999999999998</v>
      </c>
      <c r="O6" s="245">
        <v>2077.6999999999998</v>
      </c>
      <c r="P6" s="245">
        <v>2077.6999999999998</v>
      </c>
      <c r="Q6" s="245">
        <v>2077.6999999999998</v>
      </c>
      <c r="R6" s="245">
        <v>2077.6999999999998</v>
      </c>
      <c r="S6" s="245">
        <v>2077.6999999999998</v>
      </c>
      <c r="T6" s="245">
        <v>2077.6999999999998</v>
      </c>
      <c r="U6" s="245">
        <v>2077.6999999999998</v>
      </c>
    </row>
    <row r="7" spans="1:67" x14ac:dyDescent="0.25">
      <c r="A7" s="107" t="s">
        <v>42</v>
      </c>
      <c r="B7" s="249" t="s">
        <v>673</v>
      </c>
      <c r="C7" s="245">
        <f t="shared" si="1"/>
        <v>0</v>
      </c>
      <c r="D7" s="245">
        <v>0</v>
      </c>
      <c r="E7" s="245">
        <v>0</v>
      </c>
      <c r="F7" s="245">
        <v>0</v>
      </c>
      <c r="G7" s="245">
        <v>0</v>
      </c>
      <c r="H7" s="245">
        <v>0</v>
      </c>
      <c r="I7" s="245">
        <v>0</v>
      </c>
      <c r="J7" s="245">
        <v>0</v>
      </c>
      <c r="K7" s="245">
        <v>0</v>
      </c>
      <c r="L7" s="245">
        <v>0</v>
      </c>
      <c r="M7" s="245">
        <v>0</v>
      </c>
      <c r="N7" s="245">
        <v>0</v>
      </c>
      <c r="O7" s="245">
        <v>0</v>
      </c>
      <c r="P7" s="245">
        <v>0</v>
      </c>
      <c r="Q7" s="245">
        <v>0</v>
      </c>
      <c r="R7" s="245">
        <v>0</v>
      </c>
      <c r="S7" s="245">
        <v>0</v>
      </c>
      <c r="T7" s="245">
        <v>0</v>
      </c>
      <c r="U7" s="245">
        <v>0</v>
      </c>
    </row>
    <row r="8" spans="1:67" ht="25.5" x14ac:dyDescent="0.25">
      <c r="A8" s="107" t="s">
        <v>43</v>
      </c>
      <c r="B8" s="249" t="s">
        <v>674</v>
      </c>
      <c r="C8" s="245">
        <f t="shared" si="1"/>
        <v>0</v>
      </c>
      <c r="D8" s="245">
        <v>0</v>
      </c>
      <c r="E8" s="245">
        <v>0</v>
      </c>
      <c r="F8" s="245">
        <v>0</v>
      </c>
      <c r="G8" s="245">
        <v>0</v>
      </c>
      <c r="H8" s="245">
        <v>0</v>
      </c>
      <c r="I8" s="245">
        <v>0</v>
      </c>
      <c r="J8" s="245">
        <v>0</v>
      </c>
      <c r="K8" s="245">
        <v>0</v>
      </c>
      <c r="L8" s="245">
        <v>0</v>
      </c>
      <c r="M8" s="245">
        <v>0</v>
      </c>
      <c r="N8" s="245">
        <v>0</v>
      </c>
      <c r="O8" s="245">
        <v>0</v>
      </c>
      <c r="P8" s="245">
        <v>0</v>
      </c>
      <c r="Q8" s="245">
        <v>0</v>
      </c>
      <c r="R8" s="245">
        <v>0</v>
      </c>
      <c r="S8" s="245">
        <v>0</v>
      </c>
      <c r="T8" s="245">
        <v>0</v>
      </c>
      <c r="U8" s="245">
        <v>0</v>
      </c>
    </row>
    <row r="9" spans="1:67" ht="25.5" x14ac:dyDescent="0.25">
      <c r="A9" s="107" t="s">
        <v>44</v>
      </c>
      <c r="B9" s="249" t="s">
        <v>675</v>
      </c>
      <c r="C9" s="245">
        <f t="shared" si="1"/>
        <v>22504.099999999991</v>
      </c>
      <c r="D9" s="245">
        <v>1074.3</v>
      </c>
      <c r="E9" s="245">
        <v>889</v>
      </c>
      <c r="F9" s="245">
        <v>1283.8</v>
      </c>
      <c r="G9" s="245">
        <v>1283.8</v>
      </c>
      <c r="H9" s="245">
        <v>1283.8</v>
      </c>
      <c r="I9" s="245">
        <v>1283.8</v>
      </c>
      <c r="J9" s="245">
        <v>1283.8</v>
      </c>
      <c r="K9" s="245">
        <v>1283.8</v>
      </c>
      <c r="L9" s="245">
        <v>1283.8</v>
      </c>
      <c r="M9" s="245">
        <v>1283.8</v>
      </c>
      <c r="N9" s="245">
        <v>1283.8</v>
      </c>
      <c r="O9" s="245">
        <v>1283.8</v>
      </c>
      <c r="P9" s="245">
        <v>1283.8</v>
      </c>
      <c r="Q9" s="245">
        <v>1283.8</v>
      </c>
      <c r="R9" s="245">
        <v>1283.8</v>
      </c>
      <c r="S9" s="245">
        <v>1283.8</v>
      </c>
      <c r="T9" s="245">
        <v>1283.8</v>
      </c>
      <c r="U9" s="245">
        <v>1283.8</v>
      </c>
    </row>
    <row r="10" spans="1:67" x14ac:dyDescent="0.25">
      <c r="A10" s="107" t="s">
        <v>45</v>
      </c>
      <c r="B10" s="249" t="s">
        <v>676</v>
      </c>
      <c r="C10" s="245">
        <f t="shared" si="1"/>
        <v>924.6999999999997</v>
      </c>
      <c r="D10" s="245">
        <v>-37.299999999999997</v>
      </c>
      <c r="E10" s="245">
        <v>-130.80000000000001</v>
      </c>
      <c r="F10" s="245">
        <v>68.3</v>
      </c>
      <c r="G10" s="245">
        <v>68.3</v>
      </c>
      <c r="H10" s="245">
        <v>68.3</v>
      </c>
      <c r="I10" s="245">
        <v>68.3</v>
      </c>
      <c r="J10" s="245">
        <v>68.3</v>
      </c>
      <c r="K10" s="245">
        <v>68.3</v>
      </c>
      <c r="L10" s="245">
        <v>68.3</v>
      </c>
      <c r="M10" s="245">
        <v>68.3</v>
      </c>
      <c r="N10" s="245">
        <v>68.3</v>
      </c>
      <c r="O10" s="245">
        <v>68.3</v>
      </c>
      <c r="P10" s="245">
        <v>68.3</v>
      </c>
      <c r="Q10" s="245">
        <v>68.3</v>
      </c>
      <c r="R10" s="245">
        <v>68.3</v>
      </c>
      <c r="S10" s="245">
        <v>68.3</v>
      </c>
      <c r="T10" s="245">
        <v>68.3</v>
      </c>
      <c r="U10" s="245">
        <v>68.3</v>
      </c>
    </row>
    <row r="11" spans="1:67" x14ac:dyDescent="0.25">
      <c r="A11" s="107" t="s">
        <v>46</v>
      </c>
      <c r="B11" s="249" t="s">
        <v>677</v>
      </c>
      <c r="C11" s="245">
        <f t="shared" si="1"/>
        <v>0</v>
      </c>
      <c r="D11" s="245">
        <v>0</v>
      </c>
      <c r="E11" s="245">
        <v>0</v>
      </c>
      <c r="F11" s="245">
        <v>0</v>
      </c>
      <c r="G11" s="245">
        <v>0</v>
      </c>
      <c r="H11" s="245">
        <v>0</v>
      </c>
      <c r="I11" s="245">
        <v>0</v>
      </c>
      <c r="J11" s="245">
        <v>0</v>
      </c>
      <c r="K11" s="245">
        <v>0</v>
      </c>
      <c r="L11" s="245">
        <v>0</v>
      </c>
      <c r="M11" s="245">
        <v>0</v>
      </c>
      <c r="N11" s="245">
        <v>0</v>
      </c>
      <c r="O11" s="245">
        <v>0</v>
      </c>
      <c r="P11" s="245">
        <v>0</v>
      </c>
      <c r="Q11" s="245">
        <v>0</v>
      </c>
      <c r="R11" s="245">
        <v>0</v>
      </c>
      <c r="S11" s="245">
        <v>0</v>
      </c>
      <c r="T11" s="245">
        <v>0</v>
      </c>
      <c r="U11" s="245">
        <v>0</v>
      </c>
    </row>
    <row r="12" spans="1:67" x14ac:dyDescent="0.25">
      <c r="A12" s="107" t="s">
        <v>47</v>
      </c>
      <c r="B12" s="249" t="s">
        <v>678</v>
      </c>
      <c r="C12" s="245">
        <f t="shared" si="1"/>
        <v>27372.299999999992</v>
      </c>
      <c r="D12" s="245">
        <v>1293.2</v>
      </c>
      <c r="E12" s="245">
        <v>1053.5</v>
      </c>
      <c r="F12" s="245">
        <v>1564.1</v>
      </c>
      <c r="G12" s="245">
        <v>1564.1</v>
      </c>
      <c r="H12" s="245">
        <v>1564.1</v>
      </c>
      <c r="I12" s="245">
        <v>1564.1</v>
      </c>
      <c r="J12" s="245">
        <v>1564.1</v>
      </c>
      <c r="K12" s="245">
        <v>1564.1</v>
      </c>
      <c r="L12" s="245">
        <v>1564.1</v>
      </c>
      <c r="M12" s="245">
        <v>1564.1</v>
      </c>
      <c r="N12" s="245">
        <v>1564.1</v>
      </c>
      <c r="O12" s="245">
        <v>1564.1</v>
      </c>
      <c r="P12" s="245">
        <v>1564.1</v>
      </c>
      <c r="Q12" s="245">
        <v>1564.1</v>
      </c>
      <c r="R12" s="245">
        <v>1564.1</v>
      </c>
      <c r="S12" s="245">
        <v>1564.1</v>
      </c>
      <c r="T12" s="245">
        <v>1564.1</v>
      </c>
      <c r="U12" s="245">
        <v>1564.1</v>
      </c>
    </row>
    <row r="13" spans="1:67" x14ac:dyDescent="0.25">
      <c r="A13" s="107" t="s">
        <v>48</v>
      </c>
      <c r="B13" s="249" t="s">
        <v>679</v>
      </c>
      <c r="C13" s="245">
        <f t="shared" si="1"/>
        <v>61925.799999999981</v>
      </c>
      <c r="D13" s="245">
        <v>2956.3</v>
      </c>
      <c r="E13" s="245">
        <v>2446.3000000000002</v>
      </c>
      <c r="F13" s="245">
        <v>3532.7</v>
      </c>
      <c r="G13" s="245">
        <v>3532.7</v>
      </c>
      <c r="H13" s="245">
        <v>3532.7</v>
      </c>
      <c r="I13" s="245">
        <v>3532.7</v>
      </c>
      <c r="J13" s="245">
        <v>3532.7</v>
      </c>
      <c r="K13" s="245">
        <v>3532.7</v>
      </c>
      <c r="L13" s="245">
        <v>3532.7</v>
      </c>
      <c r="M13" s="245">
        <v>3532.7</v>
      </c>
      <c r="N13" s="245">
        <v>3532.7</v>
      </c>
      <c r="O13" s="245">
        <v>3532.7</v>
      </c>
      <c r="P13" s="245">
        <v>3532.7</v>
      </c>
      <c r="Q13" s="245">
        <v>3532.7</v>
      </c>
      <c r="R13" s="245">
        <v>3532.7</v>
      </c>
      <c r="S13" s="245">
        <v>3532.7</v>
      </c>
      <c r="T13" s="245">
        <v>3532.7</v>
      </c>
      <c r="U13" s="245">
        <v>3532.7</v>
      </c>
    </row>
    <row r="14" spans="1:67" x14ac:dyDescent="0.25">
      <c r="A14" s="107" t="s">
        <v>49</v>
      </c>
      <c r="B14" s="249" t="s">
        <v>680</v>
      </c>
      <c r="C14" s="245">
        <f t="shared" si="1"/>
        <v>0</v>
      </c>
      <c r="D14" s="245">
        <v>0</v>
      </c>
      <c r="E14" s="245">
        <v>0</v>
      </c>
      <c r="F14" s="245">
        <v>0</v>
      </c>
      <c r="G14" s="245">
        <v>0</v>
      </c>
      <c r="H14" s="245">
        <v>0</v>
      </c>
      <c r="I14" s="245">
        <v>0</v>
      </c>
      <c r="J14" s="245">
        <v>0</v>
      </c>
      <c r="K14" s="245">
        <v>0</v>
      </c>
      <c r="L14" s="245">
        <v>0</v>
      </c>
      <c r="M14" s="245">
        <v>0</v>
      </c>
      <c r="N14" s="245">
        <v>0</v>
      </c>
      <c r="O14" s="245">
        <v>0</v>
      </c>
      <c r="P14" s="245">
        <v>0</v>
      </c>
      <c r="Q14" s="245">
        <v>0</v>
      </c>
      <c r="R14" s="245">
        <v>0</v>
      </c>
      <c r="S14" s="245">
        <v>0</v>
      </c>
      <c r="T14" s="245">
        <v>0</v>
      </c>
      <c r="U14" s="245">
        <v>0</v>
      </c>
    </row>
    <row r="15" spans="1:67" x14ac:dyDescent="0.25">
      <c r="A15" s="107" t="s">
        <v>50</v>
      </c>
      <c r="B15" s="249" t="s">
        <v>681</v>
      </c>
      <c r="C15" s="245">
        <f t="shared" si="1"/>
        <v>17341.799999999996</v>
      </c>
      <c r="D15" s="245">
        <v>827.9</v>
      </c>
      <c r="E15" s="245">
        <v>685.1</v>
      </c>
      <c r="F15" s="245">
        <v>989.3</v>
      </c>
      <c r="G15" s="245">
        <v>989.3</v>
      </c>
      <c r="H15" s="245">
        <v>989.3</v>
      </c>
      <c r="I15" s="245">
        <v>989.3</v>
      </c>
      <c r="J15" s="245">
        <v>989.3</v>
      </c>
      <c r="K15" s="245">
        <v>989.3</v>
      </c>
      <c r="L15" s="245">
        <v>989.3</v>
      </c>
      <c r="M15" s="245">
        <v>989.3</v>
      </c>
      <c r="N15" s="245">
        <v>989.3</v>
      </c>
      <c r="O15" s="245">
        <v>989.3</v>
      </c>
      <c r="P15" s="245">
        <v>989.3</v>
      </c>
      <c r="Q15" s="245">
        <v>989.3</v>
      </c>
      <c r="R15" s="245">
        <v>989.3</v>
      </c>
      <c r="S15" s="245">
        <v>989.3</v>
      </c>
      <c r="T15" s="245">
        <v>989.3</v>
      </c>
      <c r="U15" s="245">
        <v>989.3</v>
      </c>
    </row>
    <row r="16" spans="1:67" x14ac:dyDescent="0.25">
      <c r="A16" s="107" t="s">
        <v>51</v>
      </c>
      <c r="B16" s="249" t="s">
        <v>682</v>
      </c>
      <c r="C16" s="245">
        <f t="shared" si="1"/>
        <v>9212.9</v>
      </c>
      <c r="D16" s="245">
        <v>361.6</v>
      </c>
      <c r="E16" s="245">
        <v>203.3</v>
      </c>
      <c r="F16" s="245">
        <v>540.5</v>
      </c>
      <c r="G16" s="245">
        <v>540.5</v>
      </c>
      <c r="H16" s="245">
        <v>540.5</v>
      </c>
      <c r="I16" s="245">
        <v>540.5</v>
      </c>
      <c r="J16" s="245">
        <v>540.5</v>
      </c>
      <c r="K16" s="245">
        <v>540.5</v>
      </c>
      <c r="L16" s="245">
        <v>540.5</v>
      </c>
      <c r="M16" s="245">
        <v>540.5</v>
      </c>
      <c r="N16" s="245">
        <v>540.5</v>
      </c>
      <c r="O16" s="245">
        <v>540.5</v>
      </c>
      <c r="P16" s="245">
        <v>540.5</v>
      </c>
      <c r="Q16" s="245">
        <v>540.5</v>
      </c>
      <c r="R16" s="245">
        <v>540.5</v>
      </c>
      <c r="S16" s="245">
        <v>540.5</v>
      </c>
      <c r="T16" s="245">
        <v>540.5</v>
      </c>
      <c r="U16" s="245">
        <v>540.5</v>
      </c>
    </row>
    <row r="17" spans="1:21" x14ac:dyDescent="0.25">
      <c r="A17" s="107" t="s">
        <v>52</v>
      </c>
      <c r="B17" s="249" t="s">
        <v>683</v>
      </c>
      <c r="C17" s="245">
        <f t="shared" si="1"/>
        <v>17538.7</v>
      </c>
      <c r="D17" s="245">
        <v>627.4</v>
      </c>
      <c r="E17" s="245">
        <v>261.7</v>
      </c>
      <c r="F17" s="245">
        <v>1040.5999999999999</v>
      </c>
      <c r="G17" s="245">
        <v>1040.5999999999999</v>
      </c>
      <c r="H17" s="245">
        <v>1040.5999999999999</v>
      </c>
      <c r="I17" s="245">
        <v>1040.5999999999999</v>
      </c>
      <c r="J17" s="245">
        <v>1040.5999999999999</v>
      </c>
      <c r="K17" s="245">
        <v>1040.5999999999999</v>
      </c>
      <c r="L17" s="245">
        <v>1040.5999999999999</v>
      </c>
      <c r="M17" s="245">
        <v>1040.5999999999999</v>
      </c>
      <c r="N17" s="245">
        <v>1040.5999999999999</v>
      </c>
      <c r="O17" s="245">
        <v>1040.5999999999999</v>
      </c>
      <c r="P17" s="245">
        <v>1040.5999999999999</v>
      </c>
      <c r="Q17" s="245">
        <v>1040.5999999999999</v>
      </c>
      <c r="R17" s="245">
        <v>1040.5999999999999</v>
      </c>
      <c r="S17" s="245">
        <v>1040.5999999999999</v>
      </c>
      <c r="T17" s="245">
        <v>1040.5999999999999</v>
      </c>
      <c r="U17" s="245">
        <v>1040.5999999999999</v>
      </c>
    </row>
    <row r="18" spans="1:21" x14ac:dyDescent="0.25">
      <c r="A18" s="107" t="s">
        <v>53</v>
      </c>
      <c r="B18" s="249" t="s">
        <v>684</v>
      </c>
      <c r="C18" s="245">
        <f t="shared" si="1"/>
        <v>-1458</v>
      </c>
      <c r="D18" s="245">
        <v>-81</v>
      </c>
      <c r="E18" s="245">
        <v>-81</v>
      </c>
      <c r="F18" s="245">
        <v>-81</v>
      </c>
      <c r="G18" s="245">
        <v>-81</v>
      </c>
      <c r="H18" s="245">
        <v>-81</v>
      </c>
      <c r="I18" s="245">
        <v>-81</v>
      </c>
      <c r="J18" s="245">
        <v>-81</v>
      </c>
      <c r="K18" s="245">
        <v>-81</v>
      </c>
      <c r="L18" s="245">
        <v>-81</v>
      </c>
      <c r="M18" s="245">
        <v>-81</v>
      </c>
      <c r="N18" s="245">
        <v>-81</v>
      </c>
      <c r="O18" s="245">
        <v>-81</v>
      </c>
      <c r="P18" s="245">
        <v>-81</v>
      </c>
      <c r="Q18" s="245">
        <v>-81</v>
      </c>
      <c r="R18" s="245">
        <v>-81</v>
      </c>
      <c r="S18" s="245">
        <v>-81</v>
      </c>
      <c r="T18" s="245">
        <v>-81</v>
      </c>
      <c r="U18" s="245">
        <v>-81</v>
      </c>
    </row>
    <row r="19" spans="1:21" x14ac:dyDescent="0.25">
      <c r="A19" s="107" t="s">
        <v>54</v>
      </c>
      <c r="B19" s="249" t="s">
        <v>685</v>
      </c>
      <c r="C19" s="245">
        <f t="shared" si="1"/>
        <v>69849.89999999998</v>
      </c>
      <c r="D19" s="245">
        <v>3329.6</v>
      </c>
      <c r="E19" s="245">
        <v>2749.1</v>
      </c>
      <c r="F19" s="245">
        <v>3985.7</v>
      </c>
      <c r="G19" s="245">
        <v>3985.7</v>
      </c>
      <c r="H19" s="245">
        <v>3985.7</v>
      </c>
      <c r="I19" s="245">
        <v>3985.7</v>
      </c>
      <c r="J19" s="245">
        <v>3985.7</v>
      </c>
      <c r="K19" s="245">
        <v>3985.7</v>
      </c>
      <c r="L19" s="245">
        <v>3985.7</v>
      </c>
      <c r="M19" s="245">
        <v>3985.7</v>
      </c>
      <c r="N19" s="245">
        <v>3985.7</v>
      </c>
      <c r="O19" s="245">
        <v>3985.7</v>
      </c>
      <c r="P19" s="245">
        <v>3985.7</v>
      </c>
      <c r="Q19" s="245">
        <v>3985.7</v>
      </c>
      <c r="R19" s="245">
        <v>3985.7</v>
      </c>
      <c r="S19" s="245">
        <v>3985.7</v>
      </c>
      <c r="T19" s="245">
        <v>3985.7</v>
      </c>
      <c r="U19" s="245">
        <v>3985.7</v>
      </c>
    </row>
    <row r="20" spans="1:21" x14ac:dyDescent="0.25">
      <c r="A20" s="107" t="s">
        <v>55</v>
      </c>
      <c r="B20" s="249" t="s">
        <v>686</v>
      </c>
      <c r="C20" s="245">
        <f t="shared" si="1"/>
        <v>-7861.9000000000024</v>
      </c>
      <c r="D20" s="245">
        <v>-596.4</v>
      </c>
      <c r="E20" s="245">
        <v>-764.7</v>
      </c>
      <c r="F20" s="245">
        <v>-406.3</v>
      </c>
      <c r="G20" s="245">
        <v>-406.3</v>
      </c>
      <c r="H20" s="245">
        <v>-406.3</v>
      </c>
      <c r="I20" s="245">
        <v>-406.3</v>
      </c>
      <c r="J20" s="245">
        <v>-406.3</v>
      </c>
      <c r="K20" s="245">
        <v>-406.3</v>
      </c>
      <c r="L20" s="245">
        <v>-406.3</v>
      </c>
      <c r="M20" s="245">
        <v>-406.3</v>
      </c>
      <c r="N20" s="245">
        <v>-406.3</v>
      </c>
      <c r="O20" s="245">
        <v>-406.3</v>
      </c>
      <c r="P20" s="245">
        <v>-406.3</v>
      </c>
      <c r="Q20" s="245">
        <v>-406.3</v>
      </c>
      <c r="R20" s="245">
        <v>-406.3</v>
      </c>
      <c r="S20" s="245">
        <v>-406.3</v>
      </c>
      <c r="T20" s="245">
        <v>-406.3</v>
      </c>
      <c r="U20" s="245">
        <v>-406.3</v>
      </c>
    </row>
    <row r="21" spans="1:21" x14ac:dyDescent="0.25">
      <c r="A21" s="107" t="s">
        <v>56</v>
      </c>
      <c r="B21" s="249" t="s">
        <v>687</v>
      </c>
      <c r="C21" s="245">
        <f t="shared" si="1"/>
        <v>0</v>
      </c>
      <c r="D21" s="245">
        <v>0</v>
      </c>
      <c r="E21" s="245">
        <v>0</v>
      </c>
      <c r="F21" s="245">
        <v>0</v>
      </c>
      <c r="G21" s="245">
        <v>0</v>
      </c>
      <c r="H21" s="245">
        <v>0</v>
      </c>
      <c r="I21" s="245">
        <v>0</v>
      </c>
      <c r="J21" s="245">
        <v>0</v>
      </c>
      <c r="K21" s="245">
        <v>0</v>
      </c>
      <c r="L21" s="245">
        <v>0</v>
      </c>
      <c r="M21" s="245">
        <v>0</v>
      </c>
      <c r="N21" s="245">
        <v>0</v>
      </c>
      <c r="O21" s="245">
        <v>0</v>
      </c>
      <c r="P21" s="245">
        <v>0</v>
      </c>
      <c r="Q21" s="245">
        <v>0</v>
      </c>
      <c r="R21" s="245">
        <v>0</v>
      </c>
      <c r="S21" s="245">
        <v>0</v>
      </c>
      <c r="T21" s="245">
        <v>0</v>
      </c>
      <c r="U21" s="245">
        <v>0</v>
      </c>
    </row>
    <row r="22" spans="1:21" x14ac:dyDescent="0.25">
      <c r="A22" s="107" t="s">
        <v>57</v>
      </c>
      <c r="B22" s="249" t="s">
        <v>688</v>
      </c>
      <c r="C22" s="245">
        <f t="shared" si="1"/>
        <v>0</v>
      </c>
      <c r="D22" s="245">
        <v>0</v>
      </c>
      <c r="E22" s="245">
        <v>0</v>
      </c>
      <c r="F22" s="245">
        <v>0</v>
      </c>
      <c r="G22" s="245">
        <v>0</v>
      </c>
      <c r="H22" s="245">
        <v>0</v>
      </c>
      <c r="I22" s="245">
        <v>0</v>
      </c>
      <c r="J22" s="245">
        <v>0</v>
      </c>
      <c r="K22" s="245">
        <v>0</v>
      </c>
      <c r="L22" s="245">
        <v>0</v>
      </c>
      <c r="M22" s="245">
        <v>0</v>
      </c>
      <c r="N22" s="245">
        <v>0</v>
      </c>
      <c r="O22" s="245">
        <v>0</v>
      </c>
      <c r="P22" s="245">
        <v>0</v>
      </c>
      <c r="Q22" s="245">
        <v>0</v>
      </c>
      <c r="R22" s="245">
        <v>0</v>
      </c>
      <c r="S22" s="245">
        <v>0</v>
      </c>
      <c r="T22" s="245">
        <v>0</v>
      </c>
      <c r="U22" s="245">
        <v>0</v>
      </c>
    </row>
    <row r="23" spans="1:21" x14ac:dyDescent="0.25">
      <c r="A23" s="107" t="s">
        <v>58</v>
      </c>
      <c r="B23" s="249" t="s">
        <v>689</v>
      </c>
      <c r="C23" s="245">
        <f t="shared" si="1"/>
        <v>0</v>
      </c>
      <c r="D23" s="245">
        <v>0</v>
      </c>
      <c r="E23" s="245">
        <v>0</v>
      </c>
      <c r="F23" s="245">
        <v>0</v>
      </c>
      <c r="G23" s="245">
        <v>0</v>
      </c>
      <c r="H23" s="245">
        <v>0</v>
      </c>
      <c r="I23" s="245">
        <v>0</v>
      </c>
      <c r="J23" s="245">
        <v>0</v>
      </c>
      <c r="K23" s="245">
        <v>0</v>
      </c>
      <c r="L23" s="245">
        <v>0</v>
      </c>
      <c r="M23" s="245">
        <v>0</v>
      </c>
      <c r="N23" s="245">
        <v>0</v>
      </c>
      <c r="O23" s="245">
        <v>0</v>
      </c>
      <c r="P23" s="245">
        <v>0</v>
      </c>
      <c r="Q23" s="245">
        <v>0</v>
      </c>
      <c r="R23" s="245">
        <v>0</v>
      </c>
      <c r="S23" s="245">
        <v>0</v>
      </c>
      <c r="T23" s="245">
        <v>0</v>
      </c>
      <c r="U23" s="245">
        <v>0</v>
      </c>
    </row>
    <row r="24" spans="1:21" x14ac:dyDescent="0.25">
      <c r="A24" s="107" t="s">
        <v>59</v>
      </c>
      <c r="B24" s="249" t="s">
        <v>690</v>
      </c>
      <c r="C24" s="245">
        <f t="shared" si="1"/>
        <v>646.79999999999984</v>
      </c>
      <c r="D24" s="245">
        <v>30.9</v>
      </c>
      <c r="E24" s="245">
        <v>25.5</v>
      </c>
      <c r="F24" s="245">
        <v>36.9</v>
      </c>
      <c r="G24" s="245">
        <v>36.9</v>
      </c>
      <c r="H24" s="245">
        <v>36.9</v>
      </c>
      <c r="I24" s="245">
        <v>36.9</v>
      </c>
      <c r="J24" s="245">
        <v>36.9</v>
      </c>
      <c r="K24" s="245">
        <v>36.9</v>
      </c>
      <c r="L24" s="245">
        <v>36.9</v>
      </c>
      <c r="M24" s="245">
        <v>36.9</v>
      </c>
      <c r="N24" s="245">
        <v>36.9</v>
      </c>
      <c r="O24" s="245">
        <v>36.9</v>
      </c>
      <c r="P24" s="245">
        <v>36.9</v>
      </c>
      <c r="Q24" s="245">
        <v>36.9</v>
      </c>
      <c r="R24" s="245">
        <v>36.9</v>
      </c>
      <c r="S24" s="245">
        <v>36.9</v>
      </c>
      <c r="T24" s="245">
        <v>36.9</v>
      </c>
      <c r="U24" s="245">
        <v>36.9</v>
      </c>
    </row>
    <row r="25" spans="1:21" x14ac:dyDescent="0.25">
      <c r="A25" s="107" t="s">
        <v>60</v>
      </c>
      <c r="B25" s="249" t="s">
        <v>691</v>
      </c>
      <c r="C25" s="245">
        <f t="shared" si="1"/>
        <v>9902.1999999999971</v>
      </c>
      <c r="D25" s="245">
        <v>472.7</v>
      </c>
      <c r="E25" s="245">
        <v>391.1</v>
      </c>
      <c r="F25" s="245">
        <v>564.9</v>
      </c>
      <c r="G25" s="245">
        <v>564.9</v>
      </c>
      <c r="H25" s="245">
        <v>564.9</v>
      </c>
      <c r="I25" s="245">
        <v>564.9</v>
      </c>
      <c r="J25" s="245">
        <v>564.9</v>
      </c>
      <c r="K25" s="245">
        <v>564.9</v>
      </c>
      <c r="L25" s="245">
        <v>564.9</v>
      </c>
      <c r="M25" s="245">
        <v>564.9</v>
      </c>
      <c r="N25" s="245">
        <v>564.9</v>
      </c>
      <c r="O25" s="245">
        <v>564.9</v>
      </c>
      <c r="P25" s="245">
        <v>564.9</v>
      </c>
      <c r="Q25" s="245">
        <v>564.9</v>
      </c>
      <c r="R25" s="245">
        <v>564.9</v>
      </c>
      <c r="S25" s="245">
        <v>564.9</v>
      </c>
      <c r="T25" s="245">
        <v>564.9</v>
      </c>
      <c r="U25" s="245">
        <v>564.9</v>
      </c>
    </row>
    <row r="26" spans="1:21" x14ac:dyDescent="0.25">
      <c r="A26" s="107" t="s">
        <v>61</v>
      </c>
      <c r="B26" s="249" t="s">
        <v>692</v>
      </c>
      <c r="C26" s="245">
        <f t="shared" si="1"/>
        <v>2540.1000000000008</v>
      </c>
      <c r="D26" s="245">
        <v>121.3</v>
      </c>
      <c r="E26" s="245">
        <v>100.4</v>
      </c>
      <c r="F26" s="245">
        <v>144.9</v>
      </c>
      <c r="G26" s="245">
        <v>144.9</v>
      </c>
      <c r="H26" s="245">
        <v>144.9</v>
      </c>
      <c r="I26" s="245">
        <v>144.9</v>
      </c>
      <c r="J26" s="245">
        <v>144.9</v>
      </c>
      <c r="K26" s="245">
        <v>144.9</v>
      </c>
      <c r="L26" s="245">
        <v>144.9</v>
      </c>
      <c r="M26" s="245">
        <v>144.9</v>
      </c>
      <c r="N26" s="245">
        <v>144.9</v>
      </c>
      <c r="O26" s="245">
        <v>144.9</v>
      </c>
      <c r="P26" s="245">
        <v>144.9</v>
      </c>
      <c r="Q26" s="245">
        <v>144.9</v>
      </c>
      <c r="R26" s="245">
        <v>144.9</v>
      </c>
      <c r="S26" s="245">
        <v>144.9</v>
      </c>
      <c r="T26" s="245">
        <v>144.9</v>
      </c>
      <c r="U26" s="245">
        <v>144.9</v>
      </c>
    </row>
    <row r="27" spans="1:21" x14ac:dyDescent="0.25">
      <c r="A27" s="202">
        <v>2</v>
      </c>
      <c r="B27" s="215" t="s">
        <v>443</v>
      </c>
      <c r="C27" s="216">
        <f t="shared" ref="C27:U27" si="2">SUM(C28:C50)</f>
        <v>252640.29999999993</v>
      </c>
      <c r="D27" s="216">
        <f t="shared" si="2"/>
        <v>12245.400000000001</v>
      </c>
      <c r="E27" s="216">
        <f t="shared" si="2"/>
        <v>9697.2999999999993</v>
      </c>
      <c r="F27" s="216">
        <f t="shared" si="2"/>
        <v>14418.599999999999</v>
      </c>
      <c r="G27" s="216">
        <f t="shared" si="2"/>
        <v>14418.599999999999</v>
      </c>
      <c r="H27" s="216">
        <f t="shared" si="2"/>
        <v>14418.599999999999</v>
      </c>
      <c r="I27" s="216">
        <f t="shared" si="2"/>
        <v>14418.599999999999</v>
      </c>
      <c r="J27" s="216">
        <f t="shared" si="2"/>
        <v>14418.599999999999</v>
      </c>
      <c r="K27" s="216">
        <f t="shared" si="2"/>
        <v>14418.599999999999</v>
      </c>
      <c r="L27" s="216">
        <f t="shared" si="2"/>
        <v>14418.599999999999</v>
      </c>
      <c r="M27" s="216">
        <f t="shared" si="2"/>
        <v>14418.599999999999</v>
      </c>
      <c r="N27" s="216">
        <f t="shared" si="2"/>
        <v>14418.599999999999</v>
      </c>
      <c r="O27" s="216">
        <f t="shared" si="2"/>
        <v>14418.599999999999</v>
      </c>
      <c r="P27" s="216">
        <f t="shared" si="2"/>
        <v>14418.599999999999</v>
      </c>
      <c r="Q27" s="216">
        <f t="shared" si="2"/>
        <v>14418.599999999999</v>
      </c>
      <c r="R27" s="216">
        <f t="shared" si="2"/>
        <v>14418.599999999999</v>
      </c>
      <c r="S27" s="216">
        <f t="shared" si="2"/>
        <v>14418.599999999999</v>
      </c>
      <c r="T27" s="216">
        <f t="shared" si="2"/>
        <v>14418.599999999999</v>
      </c>
      <c r="U27" s="216">
        <f t="shared" si="2"/>
        <v>14418.599999999999</v>
      </c>
    </row>
    <row r="28" spans="1:21" x14ac:dyDescent="0.25">
      <c r="A28" s="107" t="s">
        <v>62</v>
      </c>
      <c r="B28" s="249" t="s">
        <v>670</v>
      </c>
      <c r="C28" s="245">
        <f>SUM(D28:U28)</f>
        <v>-2005.2000000000007</v>
      </c>
      <c r="D28" s="245">
        <v>-111.4</v>
      </c>
      <c r="E28" s="245">
        <v>-111.4</v>
      </c>
      <c r="F28" s="245">
        <v>-111.4</v>
      </c>
      <c r="G28" s="245">
        <v>-111.4</v>
      </c>
      <c r="H28" s="245">
        <v>-111.4</v>
      </c>
      <c r="I28" s="245">
        <v>-111.4</v>
      </c>
      <c r="J28" s="245">
        <v>-111.4</v>
      </c>
      <c r="K28" s="245">
        <v>-111.4</v>
      </c>
      <c r="L28" s="245">
        <v>-111.4</v>
      </c>
      <c r="M28" s="245">
        <v>-111.4</v>
      </c>
      <c r="N28" s="245">
        <v>-111.4</v>
      </c>
      <c r="O28" s="245">
        <v>-111.4</v>
      </c>
      <c r="P28" s="245">
        <v>-111.4</v>
      </c>
      <c r="Q28" s="245">
        <v>-111.4</v>
      </c>
      <c r="R28" s="245">
        <v>-111.4</v>
      </c>
      <c r="S28" s="245">
        <v>-111.4</v>
      </c>
      <c r="T28" s="245">
        <v>-111.4</v>
      </c>
      <c r="U28" s="245">
        <v>-111.4</v>
      </c>
    </row>
    <row r="29" spans="1:21" x14ac:dyDescent="0.25">
      <c r="A29" s="107" t="s">
        <v>63</v>
      </c>
      <c r="B29" s="249" t="s">
        <v>671</v>
      </c>
      <c r="C29" s="245">
        <f t="shared" ref="C29:C50" si="3">SUM(D29:U29)</f>
        <v>519</v>
      </c>
      <c r="D29" s="245">
        <v>25.7</v>
      </c>
      <c r="E29" s="245">
        <v>21.3</v>
      </c>
      <c r="F29" s="245">
        <v>29.5</v>
      </c>
      <c r="G29" s="245">
        <v>29.5</v>
      </c>
      <c r="H29" s="245">
        <v>29.5</v>
      </c>
      <c r="I29" s="245">
        <v>29.5</v>
      </c>
      <c r="J29" s="245">
        <v>29.5</v>
      </c>
      <c r="K29" s="245">
        <v>29.5</v>
      </c>
      <c r="L29" s="245">
        <v>29.5</v>
      </c>
      <c r="M29" s="245">
        <v>29.5</v>
      </c>
      <c r="N29" s="245">
        <v>29.5</v>
      </c>
      <c r="O29" s="245">
        <v>29.5</v>
      </c>
      <c r="P29" s="245">
        <v>29.5</v>
      </c>
      <c r="Q29" s="245">
        <v>29.5</v>
      </c>
      <c r="R29" s="245">
        <v>29.5</v>
      </c>
      <c r="S29" s="245">
        <v>29.5</v>
      </c>
      <c r="T29" s="245">
        <v>29.5</v>
      </c>
      <c r="U29" s="245">
        <v>29.5</v>
      </c>
    </row>
    <row r="30" spans="1:21" x14ac:dyDescent="0.25">
      <c r="A30" s="107" t="s">
        <v>64</v>
      </c>
      <c r="B30" s="249" t="s">
        <v>672</v>
      </c>
      <c r="C30" s="245">
        <f t="shared" si="3"/>
        <v>-5115.3</v>
      </c>
      <c r="D30" s="245">
        <v>-357.5</v>
      </c>
      <c r="E30" s="245">
        <v>-461.8</v>
      </c>
      <c r="F30" s="245">
        <v>-268.5</v>
      </c>
      <c r="G30" s="245">
        <v>-268.5</v>
      </c>
      <c r="H30" s="245">
        <v>-268.5</v>
      </c>
      <c r="I30" s="245">
        <v>-268.5</v>
      </c>
      <c r="J30" s="245">
        <v>-268.5</v>
      </c>
      <c r="K30" s="245">
        <v>-268.5</v>
      </c>
      <c r="L30" s="245">
        <v>-268.5</v>
      </c>
      <c r="M30" s="245">
        <v>-268.5</v>
      </c>
      <c r="N30" s="245">
        <v>-268.5</v>
      </c>
      <c r="O30" s="245">
        <v>-268.5</v>
      </c>
      <c r="P30" s="245">
        <v>-268.5</v>
      </c>
      <c r="Q30" s="245">
        <v>-268.5</v>
      </c>
      <c r="R30" s="245">
        <v>-268.5</v>
      </c>
      <c r="S30" s="245">
        <v>-268.5</v>
      </c>
      <c r="T30" s="245">
        <v>-268.5</v>
      </c>
      <c r="U30" s="245">
        <v>-268.5</v>
      </c>
    </row>
    <row r="31" spans="1:21" x14ac:dyDescent="0.25">
      <c r="A31" s="107" t="s">
        <v>65</v>
      </c>
      <c r="B31" s="249" t="s">
        <v>673</v>
      </c>
      <c r="C31" s="245">
        <f t="shared" si="3"/>
        <v>543.70000000000016</v>
      </c>
      <c r="D31" s="245">
        <v>26</v>
      </c>
      <c r="E31" s="245">
        <v>20.100000000000001</v>
      </c>
      <c r="F31" s="245">
        <v>31.1</v>
      </c>
      <c r="G31" s="245">
        <v>31.1</v>
      </c>
      <c r="H31" s="245">
        <v>31.1</v>
      </c>
      <c r="I31" s="245">
        <v>31.1</v>
      </c>
      <c r="J31" s="245">
        <v>31.1</v>
      </c>
      <c r="K31" s="245">
        <v>31.1</v>
      </c>
      <c r="L31" s="245">
        <v>31.1</v>
      </c>
      <c r="M31" s="245">
        <v>31.1</v>
      </c>
      <c r="N31" s="245">
        <v>31.1</v>
      </c>
      <c r="O31" s="245">
        <v>31.1</v>
      </c>
      <c r="P31" s="245">
        <v>31.1</v>
      </c>
      <c r="Q31" s="245">
        <v>31.1</v>
      </c>
      <c r="R31" s="245">
        <v>31.1</v>
      </c>
      <c r="S31" s="245">
        <v>31.1</v>
      </c>
      <c r="T31" s="245">
        <v>31.1</v>
      </c>
      <c r="U31" s="245">
        <v>31.1</v>
      </c>
    </row>
    <row r="32" spans="1:21" ht="25.5" x14ac:dyDescent="0.25">
      <c r="A32" s="107" t="s">
        <v>66</v>
      </c>
      <c r="B32" s="249" t="s">
        <v>674</v>
      </c>
      <c r="C32" s="245">
        <f t="shared" si="3"/>
        <v>2767.4000000000005</v>
      </c>
      <c r="D32" s="245">
        <v>137.1</v>
      </c>
      <c r="E32" s="245">
        <v>113.5</v>
      </c>
      <c r="F32" s="245">
        <v>157.30000000000001</v>
      </c>
      <c r="G32" s="245">
        <v>157.30000000000001</v>
      </c>
      <c r="H32" s="245">
        <v>157.30000000000001</v>
      </c>
      <c r="I32" s="245">
        <v>157.30000000000001</v>
      </c>
      <c r="J32" s="245">
        <v>157.30000000000001</v>
      </c>
      <c r="K32" s="245">
        <v>157.30000000000001</v>
      </c>
      <c r="L32" s="245">
        <v>157.30000000000001</v>
      </c>
      <c r="M32" s="245">
        <v>157.30000000000001</v>
      </c>
      <c r="N32" s="245">
        <v>157.30000000000001</v>
      </c>
      <c r="O32" s="245">
        <v>157.30000000000001</v>
      </c>
      <c r="P32" s="245">
        <v>157.30000000000001</v>
      </c>
      <c r="Q32" s="245">
        <v>157.30000000000001</v>
      </c>
      <c r="R32" s="245">
        <v>157.30000000000001</v>
      </c>
      <c r="S32" s="245">
        <v>157.30000000000001</v>
      </c>
      <c r="T32" s="245">
        <v>157.30000000000001</v>
      </c>
      <c r="U32" s="245">
        <v>157.30000000000001</v>
      </c>
    </row>
    <row r="33" spans="1:21" ht="25.5" x14ac:dyDescent="0.25">
      <c r="A33" s="107" t="s">
        <v>67</v>
      </c>
      <c r="B33" s="249" t="s">
        <v>675</v>
      </c>
      <c r="C33" s="245">
        <f t="shared" si="3"/>
        <v>1458.4000000000003</v>
      </c>
      <c r="D33" s="245">
        <v>67.599999999999994</v>
      </c>
      <c r="E33" s="245">
        <v>48.4</v>
      </c>
      <c r="F33" s="245">
        <v>83.9</v>
      </c>
      <c r="G33" s="245">
        <v>83.9</v>
      </c>
      <c r="H33" s="245">
        <v>83.9</v>
      </c>
      <c r="I33" s="245">
        <v>83.9</v>
      </c>
      <c r="J33" s="245">
        <v>83.9</v>
      </c>
      <c r="K33" s="245">
        <v>83.9</v>
      </c>
      <c r="L33" s="245">
        <v>83.9</v>
      </c>
      <c r="M33" s="245">
        <v>83.9</v>
      </c>
      <c r="N33" s="245">
        <v>83.9</v>
      </c>
      <c r="O33" s="245">
        <v>83.9</v>
      </c>
      <c r="P33" s="245">
        <v>83.9</v>
      </c>
      <c r="Q33" s="245">
        <v>83.9</v>
      </c>
      <c r="R33" s="245">
        <v>83.9</v>
      </c>
      <c r="S33" s="245">
        <v>83.9</v>
      </c>
      <c r="T33" s="245">
        <v>83.9</v>
      </c>
      <c r="U33" s="245">
        <v>83.9</v>
      </c>
    </row>
    <row r="34" spans="1:21" x14ac:dyDescent="0.25">
      <c r="A34" s="107" t="s">
        <v>68</v>
      </c>
      <c r="B34" s="249" t="s">
        <v>676</v>
      </c>
      <c r="C34" s="245">
        <f t="shared" si="3"/>
        <v>0</v>
      </c>
      <c r="D34" s="245">
        <v>0</v>
      </c>
      <c r="E34" s="245">
        <v>0</v>
      </c>
      <c r="F34" s="245">
        <v>0</v>
      </c>
      <c r="G34" s="245">
        <v>0</v>
      </c>
      <c r="H34" s="245">
        <v>0</v>
      </c>
      <c r="I34" s="245">
        <v>0</v>
      </c>
      <c r="J34" s="245">
        <v>0</v>
      </c>
      <c r="K34" s="245">
        <v>0</v>
      </c>
      <c r="L34" s="245">
        <v>0</v>
      </c>
      <c r="M34" s="245">
        <v>0</v>
      </c>
      <c r="N34" s="245">
        <v>0</v>
      </c>
      <c r="O34" s="245">
        <v>0</v>
      </c>
      <c r="P34" s="245">
        <v>0</v>
      </c>
      <c r="Q34" s="245">
        <v>0</v>
      </c>
      <c r="R34" s="245">
        <v>0</v>
      </c>
      <c r="S34" s="245">
        <v>0</v>
      </c>
      <c r="T34" s="245">
        <v>0</v>
      </c>
      <c r="U34" s="245">
        <v>0</v>
      </c>
    </row>
    <row r="35" spans="1:21" x14ac:dyDescent="0.25">
      <c r="A35" s="107" t="s">
        <v>69</v>
      </c>
      <c r="B35" s="249" t="s">
        <v>677</v>
      </c>
      <c r="C35" s="245">
        <f t="shared" si="3"/>
        <v>2422.5</v>
      </c>
      <c r="D35" s="245">
        <v>120</v>
      </c>
      <c r="E35" s="245">
        <v>99.3</v>
      </c>
      <c r="F35" s="245">
        <v>137.69999999999999</v>
      </c>
      <c r="G35" s="245">
        <v>137.69999999999999</v>
      </c>
      <c r="H35" s="245">
        <v>137.69999999999999</v>
      </c>
      <c r="I35" s="245">
        <v>137.69999999999999</v>
      </c>
      <c r="J35" s="245">
        <v>137.69999999999999</v>
      </c>
      <c r="K35" s="245">
        <v>137.69999999999999</v>
      </c>
      <c r="L35" s="245">
        <v>137.69999999999999</v>
      </c>
      <c r="M35" s="245">
        <v>137.69999999999999</v>
      </c>
      <c r="N35" s="245">
        <v>137.69999999999999</v>
      </c>
      <c r="O35" s="245">
        <v>137.69999999999999</v>
      </c>
      <c r="P35" s="245">
        <v>137.69999999999999</v>
      </c>
      <c r="Q35" s="245">
        <v>137.69999999999999</v>
      </c>
      <c r="R35" s="245">
        <v>137.69999999999999</v>
      </c>
      <c r="S35" s="245">
        <v>137.69999999999999</v>
      </c>
      <c r="T35" s="245">
        <v>137.69999999999999</v>
      </c>
      <c r="U35" s="245">
        <v>137.69999999999999</v>
      </c>
    </row>
    <row r="36" spans="1:21" x14ac:dyDescent="0.25">
      <c r="A36" s="107" t="s">
        <v>70</v>
      </c>
      <c r="B36" s="249" t="s">
        <v>678</v>
      </c>
      <c r="C36" s="245">
        <f t="shared" si="3"/>
        <v>-3832.2000000000012</v>
      </c>
      <c r="D36" s="245">
        <v>-212.9</v>
      </c>
      <c r="E36" s="245">
        <v>-212.9</v>
      </c>
      <c r="F36" s="245">
        <v>-212.9</v>
      </c>
      <c r="G36" s="245">
        <v>-212.9</v>
      </c>
      <c r="H36" s="245">
        <v>-212.9</v>
      </c>
      <c r="I36" s="245">
        <v>-212.9</v>
      </c>
      <c r="J36" s="245">
        <v>-212.9</v>
      </c>
      <c r="K36" s="245">
        <v>-212.9</v>
      </c>
      <c r="L36" s="245">
        <v>-212.9</v>
      </c>
      <c r="M36" s="245">
        <v>-212.9</v>
      </c>
      <c r="N36" s="245">
        <v>-212.9</v>
      </c>
      <c r="O36" s="245">
        <v>-212.9</v>
      </c>
      <c r="P36" s="245">
        <v>-212.9</v>
      </c>
      <c r="Q36" s="245">
        <v>-212.9</v>
      </c>
      <c r="R36" s="245">
        <v>-212.9</v>
      </c>
      <c r="S36" s="245">
        <v>-212.9</v>
      </c>
      <c r="T36" s="245">
        <v>-212.9</v>
      </c>
      <c r="U36" s="245">
        <v>-212.9</v>
      </c>
    </row>
    <row r="37" spans="1:21" x14ac:dyDescent="0.25">
      <c r="A37" s="107" t="s">
        <v>693</v>
      </c>
      <c r="B37" s="249" t="s">
        <v>679</v>
      </c>
      <c r="C37" s="245">
        <f t="shared" si="3"/>
        <v>-1112.4000000000001</v>
      </c>
      <c r="D37" s="245">
        <v>-95.9</v>
      </c>
      <c r="E37" s="245">
        <v>-144.5</v>
      </c>
      <c r="F37" s="245">
        <v>-54.5</v>
      </c>
      <c r="G37" s="245">
        <v>-54.5</v>
      </c>
      <c r="H37" s="245">
        <v>-54.5</v>
      </c>
      <c r="I37" s="245">
        <v>-54.5</v>
      </c>
      <c r="J37" s="245">
        <v>-54.5</v>
      </c>
      <c r="K37" s="245">
        <v>-54.5</v>
      </c>
      <c r="L37" s="245">
        <v>-54.5</v>
      </c>
      <c r="M37" s="245">
        <v>-54.5</v>
      </c>
      <c r="N37" s="245">
        <v>-54.5</v>
      </c>
      <c r="O37" s="245">
        <v>-54.5</v>
      </c>
      <c r="P37" s="245">
        <v>-54.5</v>
      </c>
      <c r="Q37" s="245">
        <v>-54.5</v>
      </c>
      <c r="R37" s="245">
        <v>-54.5</v>
      </c>
      <c r="S37" s="245">
        <v>-54.5</v>
      </c>
      <c r="T37" s="245">
        <v>-54.5</v>
      </c>
      <c r="U37" s="245">
        <v>-54.5</v>
      </c>
    </row>
    <row r="38" spans="1:21" x14ac:dyDescent="0.25">
      <c r="A38" s="107" t="s">
        <v>694</v>
      </c>
      <c r="B38" s="249" t="s">
        <v>680</v>
      </c>
      <c r="C38" s="245">
        <f t="shared" si="3"/>
        <v>-318.59999999999991</v>
      </c>
      <c r="D38" s="245">
        <v>-17.7</v>
      </c>
      <c r="E38" s="245">
        <v>-17.7</v>
      </c>
      <c r="F38" s="245">
        <v>-17.7</v>
      </c>
      <c r="G38" s="245">
        <v>-17.7</v>
      </c>
      <c r="H38" s="245">
        <v>-17.7</v>
      </c>
      <c r="I38" s="245">
        <v>-17.7</v>
      </c>
      <c r="J38" s="245">
        <v>-17.7</v>
      </c>
      <c r="K38" s="245">
        <v>-17.7</v>
      </c>
      <c r="L38" s="245">
        <v>-17.7</v>
      </c>
      <c r="M38" s="245">
        <v>-17.7</v>
      </c>
      <c r="N38" s="245">
        <v>-17.7</v>
      </c>
      <c r="O38" s="245">
        <v>-17.7</v>
      </c>
      <c r="P38" s="245">
        <v>-17.7</v>
      </c>
      <c r="Q38" s="245">
        <v>-17.7</v>
      </c>
      <c r="R38" s="245">
        <v>-17.7</v>
      </c>
      <c r="S38" s="245">
        <v>-17.7</v>
      </c>
      <c r="T38" s="245">
        <v>-17.7</v>
      </c>
      <c r="U38" s="245">
        <v>-17.7</v>
      </c>
    </row>
    <row r="39" spans="1:21" x14ac:dyDescent="0.25">
      <c r="A39" s="107" t="s">
        <v>695</v>
      </c>
      <c r="B39" s="249" t="s">
        <v>681</v>
      </c>
      <c r="C39" s="245">
        <f t="shared" si="3"/>
        <v>-2383.2000000000007</v>
      </c>
      <c r="D39" s="245">
        <v>-132.4</v>
      </c>
      <c r="E39" s="245">
        <v>-132.4</v>
      </c>
      <c r="F39" s="245">
        <v>-132.4</v>
      </c>
      <c r="G39" s="245">
        <v>-132.4</v>
      </c>
      <c r="H39" s="245">
        <v>-132.4</v>
      </c>
      <c r="I39" s="245">
        <v>-132.4</v>
      </c>
      <c r="J39" s="245">
        <v>-132.4</v>
      </c>
      <c r="K39" s="245">
        <v>-132.4</v>
      </c>
      <c r="L39" s="245">
        <v>-132.4</v>
      </c>
      <c r="M39" s="245">
        <v>-132.4</v>
      </c>
      <c r="N39" s="245">
        <v>-132.4</v>
      </c>
      <c r="O39" s="245">
        <v>-132.4</v>
      </c>
      <c r="P39" s="245">
        <v>-132.4</v>
      </c>
      <c r="Q39" s="245">
        <v>-132.4</v>
      </c>
      <c r="R39" s="245">
        <v>-132.4</v>
      </c>
      <c r="S39" s="245">
        <v>-132.4</v>
      </c>
      <c r="T39" s="245">
        <v>-132.4</v>
      </c>
      <c r="U39" s="245">
        <v>-132.4</v>
      </c>
    </row>
    <row r="40" spans="1:21" x14ac:dyDescent="0.25">
      <c r="A40" s="107" t="s">
        <v>696</v>
      </c>
      <c r="B40" s="249" t="s">
        <v>682</v>
      </c>
      <c r="C40" s="245">
        <f t="shared" si="3"/>
        <v>3266.4999999999991</v>
      </c>
      <c r="D40" s="245">
        <v>133.69999999999999</v>
      </c>
      <c r="E40" s="245">
        <v>65.599999999999994</v>
      </c>
      <c r="F40" s="245">
        <v>191.7</v>
      </c>
      <c r="G40" s="245">
        <v>191.7</v>
      </c>
      <c r="H40" s="245">
        <v>191.7</v>
      </c>
      <c r="I40" s="245">
        <v>191.7</v>
      </c>
      <c r="J40" s="245">
        <v>191.7</v>
      </c>
      <c r="K40" s="245">
        <v>191.7</v>
      </c>
      <c r="L40" s="245">
        <v>191.7</v>
      </c>
      <c r="M40" s="245">
        <v>191.7</v>
      </c>
      <c r="N40" s="245">
        <v>191.7</v>
      </c>
      <c r="O40" s="245">
        <v>191.7</v>
      </c>
      <c r="P40" s="245">
        <v>191.7</v>
      </c>
      <c r="Q40" s="245">
        <v>191.7</v>
      </c>
      <c r="R40" s="245">
        <v>191.7</v>
      </c>
      <c r="S40" s="245">
        <v>191.7</v>
      </c>
      <c r="T40" s="245">
        <v>191.7</v>
      </c>
      <c r="U40" s="245">
        <v>191.7</v>
      </c>
    </row>
    <row r="41" spans="1:21" x14ac:dyDescent="0.25">
      <c r="A41" s="107" t="s">
        <v>697</v>
      </c>
      <c r="B41" s="249" t="s">
        <v>683</v>
      </c>
      <c r="C41" s="245">
        <f t="shared" si="3"/>
        <v>-2379.6</v>
      </c>
      <c r="D41" s="245">
        <v>-132.19999999999999</v>
      </c>
      <c r="E41" s="245">
        <v>-132.19999999999999</v>
      </c>
      <c r="F41" s="245">
        <v>-132.19999999999999</v>
      </c>
      <c r="G41" s="245">
        <v>-132.19999999999999</v>
      </c>
      <c r="H41" s="245">
        <v>-132.19999999999999</v>
      </c>
      <c r="I41" s="245">
        <v>-132.19999999999999</v>
      </c>
      <c r="J41" s="245">
        <v>-132.19999999999999</v>
      </c>
      <c r="K41" s="245">
        <v>-132.19999999999999</v>
      </c>
      <c r="L41" s="245">
        <v>-132.19999999999999</v>
      </c>
      <c r="M41" s="245">
        <v>-132.19999999999999</v>
      </c>
      <c r="N41" s="245">
        <v>-132.19999999999999</v>
      </c>
      <c r="O41" s="245">
        <v>-132.19999999999999</v>
      </c>
      <c r="P41" s="245">
        <v>-132.19999999999999</v>
      </c>
      <c r="Q41" s="245">
        <v>-132.19999999999999</v>
      </c>
      <c r="R41" s="245">
        <v>-132.19999999999999</v>
      </c>
      <c r="S41" s="245">
        <v>-132.19999999999999</v>
      </c>
      <c r="T41" s="245">
        <v>-132.19999999999999</v>
      </c>
      <c r="U41" s="245">
        <v>-132.19999999999999</v>
      </c>
    </row>
    <row r="42" spans="1:21" x14ac:dyDescent="0.25">
      <c r="A42" s="107" t="s">
        <v>698</v>
      </c>
      <c r="B42" s="249" t="s">
        <v>684</v>
      </c>
      <c r="C42" s="245">
        <f t="shared" si="3"/>
        <v>8800.4</v>
      </c>
      <c r="D42" s="245">
        <v>415.1</v>
      </c>
      <c r="E42" s="245">
        <v>310.10000000000002</v>
      </c>
      <c r="F42" s="245">
        <v>504.7</v>
      </c>
      <c r="G42" s="245">
        <v>504.7</v>
      </c>
      <c r="H42" s="245">
        <v>504.7</v>
      </c>
      <c r="I42" s="245">
        <v>504.7</v>
      </c>
      <c r="J42" s="245">
        <v>504.7</v>
      </c>
      <c r="K42" s="245">
        <v>504.7</v>
      </c>
      <c r="L42" s="245">
        <v>504.7</v>
      </c>
      <c r="M42" s="245">
        <v>504.7</v>
      </c>
      <c r="N42" s="245">
        <v>504.7</v>
      </c>
      <c r="O42" s="245">
        <v>504.7</v>
      </c>
      <c r="P42" s="245">
        <v>504.7</v>
      </c>
      <c r="Q42" s="245">
        <v>504.7</v>
      </c>
      <c r="R42" s="245">
        <v>504.7</v>
      </c>
      <c r="S42" s="245">
        <v>504.7</v>
      </c>
      <c r="T42" s="245">
        <v>504.7</v>
      </c>
      <c r="U42" s="245">
        <v>504.7</v>
      </c>
    </row>
    <row r="43" spans="1:21" x14ac:dyDescent="0.25">
      <c r="A43" s="107" t="s">
        <v>699</v>
      </c>
      <c r="B43" s="249" t="s">
        <v>685</v>
      </c>
      <c r="C43" s="245">
        <f t="shared" si="3"/>
        <v>66048.3</v>
      </c>
      <c r="D43" s="245">
        <v>3269</v>
      </c>
      <c r="E43" s="245">
        <v>2699.3</v>
      </c>
      <c r="F43" s="245">
        <v>3755</v>
      </c>
      <c r="G43" s="245">
        <v>3755</v>
      </c>
      <c r="H43" s="245">
        <v>3755</v>
      </c>
      <c r="I43" s="245">
        <v>3755</v>
      </c>
      <c r="J43" s="245">
        <v>3755</v>
      </c>
      <c r="K43" s="245">
        <v>3755</v>
      </c>
      <c r="L43" s="245">
        <v>3755</v>
      </c>
      <c r="M43" s="245">
        <v>3755</v>
      </c>
      <c r="N43" s="245">
        <v>3755</v>
      </c>
      <c r="O43" s="245">
        <v>3755</v>
      </c>
      <c r="P43" s="245">
        <v>3755</v>
      </c>
      <c r="Q43" s="245">
        <v>3755</v>
      </c>
      <c r="R43" s="245">
        <v>3755</v>
      </c>
      <c r="S43" s="245">
        <v>3755</v>
      </c>
      <c r="T43" s="245">
        <v>3755</v>
      </c>
      <c r="U43" s="245">
        <v>3755</v>
      </c>
    </row>
    <row r="44" spans="1:21" x14ac:dyDescent="0.25">
      <c r="A44" s="107" t="s">
        <v>700</v>
      </c>
      <c r="B44" s="249" t="s">
        <v>686</v>
      </c>
      <c r="C44" s="245">
        <f t="shared" si="3"/>
        <v>-687.60000000000014</v>
      </c>
      <c r="D44" s="245">
        <v>-38.200000000000003</v>
      </c>
      <c r="E44" s="245">
        <v>-38.200000000000003</v>
      </c>
      <c r="F44" s="245">
        <v>-38.200000000000003</v>
      </c>
      <c r="G44" s="245">
        <v>-38.200000000000003</v>
      </c>
      <c r="H44" s="245">
        <v>-38.200000000000003</v>
      </c>
      <c r="I44" s="245">
        <v>-38.200000000000003</v>
      </c>
      <c r="J44" s="245">
        <v>-38.200000000000003</v>
      </c>
      <c r="K44" s="245">
        <v>-38.200000000000003</v>
      </c>
      <c r="L44" s="245">
        <v>-38.200000000000003</v>
      </c>
      <c r="M44" s="245">
        <v>-38.200000000000003</v>
      </c>
      <c r="N44" s="245">
        <v>-38.200000000000003</v>
      </c>
      <c r="O44" s="245">
        <v>-38.200000000000003</v>
      </c>
      <c r="P44" s="245">
        <v>-38.200000000000003</v>
      </c>
      <c r="Q44" s="245">
        <v>-38.200000000000003</v>
      </c>
      <c r="R44" s="245">
        <v>-38.200000000000003</v>
      </c>
      <c r="S44" s="245">
        <v>-38.200000000000003</v>
      </c>
      <c r="T44" s="245">
        <v>-38.200000000000003</v>
      </c>
      <c r="U44" s="245">
        <v>-38.200000000000003</v>
      </c>
    </row>
    <row r="45" spans="1:21" x14ac:dyDescent="0.25">
      <c r="A45" s="107" t="s">
        <v>701</v>
      </c>
      <c r="B45" s="249" t="s">
        <v>687</v>
      </c>
      <c r="C45" s="245">
        <f t="shared" si="3"/>
        <v>2595</v>
      </c>
      <c r="D45" s="245">
        <v>128.6</v>
      </c>
      <c r="E45" s="245">
        <v>106.4</v>
      </c>
      <c r="F45" s="245">
        <v>147.5</v>
      </c>
      <c r="G45" s="245">
        <v>147.5</v>
      </c>
      <c r="H45" s="245">
        <v>147.5</v>
      </c>
      <c r="I45" s="245">
        <v>147.5</v>
      </c>
      <c r="J45" s="245">
        <v>147.5</v>
      </c>
      <c r="K45" s="245">
        <v>147.5</v>
      </c>
      <c r="L45" s="245">
        <v>147.5</v>
      </c>
      <c r="M45" s="245">
        <v>147.5</v>
      </c>
      <c r="N45" s="245">
        <v>147.5</v>
      </c>
      <c r="O45" s="245">
        <v>147.5</v>
      </c>
      <c r="P45" s="245">
        <v>147.5</v>
      </c>
      <c r="Q45" s="245">
        <v>147.5</v>
      </c>
      <c r="R45" s="245">
        <v>147.5</v>
      </c>
      <c r="S45" s="245">
        <v>147.5</v>
      </c>
      <c r="T45" s="245">
        <v>147.5</v>
      </c>
      <c r="U45" s="245">
        <v>147.5</v>
      </c>
    </row>
    <row r="46" spans="1:21" x14ac:dyDescent="0.25">
      <c r="A46" s="107" t="s">
        <v>702</v>
      </c>
      <c r="B46" s="249" t="s">
        <v>688</v>
      </c>
      <c r="C46" s="245">
        <f t="shared" si="3"/>
        <v>24477.299999999992</v>
      </c>
      <c r="D46" s="245">
        <v>1212.9000000000001</v>
      </c>
      <c r="E46" s="245">
        <v>1003.6</v>
      </c>
      <c r="F46" s="245">
        <v>1391.3</v>
      </c>
      <c r="G46" s="245">
        <v>1391.3</v>
      </c>
      <c r="H46" s="245">
        <v>1391.3</v>
      </c>
      <c r="I46" s="245">
        <v>1391.3</v>
      </c>
      <c r="J46" s="245">
        <v>1391.3</v>
      </c>
      <c r="K46" s="245">
        <v>1391.3</v>
      </c>
      <c r="L46" s="245">
        <v>1391.3</v>
      </c>
      <c r="M46" s="245">
        <v>1391.3</v>
      </c>
      <c r="N46" s="245">
        <v>1391.3</v>
      </c>
      <c r="O46" s="245">
        <v>1391.3</v>
      </c>
      <c r="P46" s="245">
        <v>1391.3</v>
      </c>
      <c r="Q46" s="245">
        <v>1391.3</v>
      </c>
      <c r="R46" s="245">
        <v>1391.3</v>
      </c>
      <c r="S46" s="245">
        <v>1391.3</v>
      </c>
      <c r="T46" s="245">
        <v>1391.3</v>
      </c>
      <c r="U46" s="245">
        <v>1391.3</v>
      </c>
    </row>
    <row r="47" spans="1:21" x14ac:dyDescent="0.25">
      <c r="A47" s="107" t="s">
        <v>703</v>
      </c>
      <c r="B47" s="249" t="s">
        <v>689</v>
      </c>
      <c r="C47" s="245">
        <f t="shared" si="3"/>
        <v>29494.799999999999</v>
      </c>
      <c r="D47" s="245">
        <v>1461.5</v>
      </c>
      <c r="E47" s="245">
        <v>1209.3</v>
      </c>
      <c r="F47" s="245">
        <v>1676.5</v>
      </c>
      <c r="G47" s="245">
        <v>1676.5</v>
      </c>
      <c r="H47" s="245">
        <v>1676.5</v>
      </c>
      <c r="I47" s="245">
        <v>1676.5</v>
      </c>
      <c r="J47" s="245">
        <v>1676.5</v>
      </c>
      <c r="K47" s="245">
        <v>1676.5</v>
      </c>
      <c r="L47" s="245">
        <v>1676.5</v>
      </c>
      <c r="M47" s="245">
        <v>1676.5</v>
      </c>
      <c r="N47" s="245">
        <v>1676.5</v>
      </c>
      <c r="O47" s="245">
        <v>1676.5</v>
      </c>
      <c r="P47" s="245">
        <v>1676.5</v>
      </c>
      <c r="Q47" s="245">
        <v>1676.5</v>
      </c>
      <c r="R47" s="245">
        <v>1676.5</v>
      </c>
      <c r="S47" s="245">
        <v>1676.5</v>
      </c>
      <c r="T47" s="245">
        <v>1676.5</v>
      </c>
      <c r="U47" s="245">
        <v>1676.5</v>
      </c>
    </row>
    <row r="48" spans="1:21" x14ac:dyDescent="0.25">
      <c r="A48" s="107" t="s">
        <v>704</v>
      </c>
      <c r="B48" s="249" t="s">
        <v>690</v>
      </c>
      <c r="C48" s="245">
        <f t="shared" si="3"/>
        <v>119085.79999999996</v>
      </c>
      <c r="D48" s="245">
        <v>5900.7</v>
      </c>
      <c r="E48" s="245">
        <v>4882.7</v>
      </c>
      <c r="F48" s="245">
        <v>6768.9</v>
      </c>
      <c r="G48" s="245">
        <v>6768.9</v>
      </c>
      <c r="H48" s="245">
        <v>6768.9</v>
      </c>
      <c r="I48" s="245">
        <v>6768.9</v>
      </c>
      <c r="J48" s="245">
        <v>6768.9</v>
      </c>
      <c r="K48" s="245">
        <v>6768.9</v>
      </c>
      <c r="L48" s="245">
        <v>6768.9</v>
      </c>
      <c r="M48" s="245">
        <v>6768.9</v>
      </c>
      <c r="N48" s="245">
        <v>6768.9</v>
      </c>
      <c r="O48" s="245">
        <v>6768.9</v>
      </c>
      <c r="P48" s="245">
        <v>6768.9</v>
      </c>
      <c r="Q48" s="245">
        <v>6768.9</v>
      </c>
      <c r="R48" s="245">
        <v>6768.9</v>
      </c>
      <c r="S48" s="245">
        <v>6768.9</v>
      </c>
      <c r="T48" s="245">
        <v>6768.9</v>
      </c>
      <c r="U48" s="245">
        <v>6768.9</v>
      </c>
    </row>
    <row r="49" spans="1:27" x14ac:dyDescent="0.25">
      <c r="A49" s="107" t="s">
        <v>705</v>
      </c>
      <c r="B49" s="249" t="s">
        <v>691</v>
      </c>
      <c r="C49" s="245">
        <f t="shared" si="3"/>
        <v>8995.3000000000011</v>
      </c>
      <c r="D49" s="245">
        <v>445.7</v>
      </c>
      <c r="E49" s="245">
        <v>368.8</v>
      </c>
      <c r="F49" s="245">
        <v>511.3</v>
      </c>
      <c r="G49" s="245">
        <v>511.3</v>
      </c>
      <c r="H49" s="245">
        <v>511.3</v>
      </c>
      <c r="I49" s="245">
        <v>511.3</v>
      </c>
      <c r="J49" s="245">
        <v>511.3</v>
      </c>
      <c r="K49" s="245">
        <v>511.3</v>
      </c>
      <c r="L49" s="245">
        <v>511.3</v>
      </c>
      <c r="M49" s="245">
        <v>511.3</v>
      </c>
      <c r="N49" s="245">
        <v>511.3</v>
      </c>
      <c r="O49" s="245">
        <v>511.3</v>
      </c>
      <c r="P49" s="245">
        <v>511.3</v>
      </c>
      <c r="Q49" s="245">
        <v>511.3</v>
      </c>
      <c r="R49" s="245">
        <v>511.3</v>
      </c>
      <c r="S49" s="245">
        <v>511.3</v>
      </c>
      <c r="T49" s="245">
        <v>511.3</v>
      </c>
      <c r="U49" s="245">
        <v>511.3</v>
      </c>
    </row>
    <row r="50" spans="1:27" x14ac:dyDescent="0.25">
      <c r="A50" s="107" t="s">
        <v>706</v>
      </c>
      <c r="B50" s="249" t="s">
        <v>692</v>
      </c>
      <c r="C50" s="245">
        <f t="shared" si="3"/>
        <v>0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45">
        <v>0</v>
      </c>
      <c r="L50" s="245">
        <v>0</v>
      </c>
      <c r="M50" s="245">
        <v>0</v>
      </c>
      <c r="N50" s="245">
        <v>0</v>
      </c>
      <c r="O50" s="245">
        <v>0</v>
      </c>
      <c r="P50" s="245">
        <v>0</v>
      </c>
      <c r="Q50" s="245">
        <v>0</v>
      </c>
      <c r="R50" s="245">
        <v>0</v>
      </c>
      <c r="S50" s="245">
        <v>0</v>
      </c>
      <c r="T50" s="245">
        <v>0</v>
      </c>
      <c r="U50" s="245">
        <v>0</v>
      </c>
    </row>
    <row r="51" spans="1:27" x14ac:dyDescent="0.25">
      <c r="A51" s="202">
        <v>3</v>
      </c>
      <c r="B51" s="215" t="s">
        <v>71</v>
      </c>
      <c r="C51" s="170">
        <f t="shared" ref="C51:U51" si="4">SUM(C52:C86)</f>
        <v>33393.5</v>
      </c>
      <c r="D51" s="170">
        <f t="shared" si="4"/>
        <v>0</v>
      </c>
      <c r="E51" s="170">
        <f t="shared" si="4"/>
        <v>0</v>
      </c>
      <c r="F51" s="170">
        <f t="shared" si="4"/>
        <v>5374</v>
      </c>
      <c r="G51" s="170">
        <f t="shared" si="4"/>
        <v>6009.5</v>
      </c>
      <c r="H51" s="170">
        <f t="shared" si="4"/>
        <v>6750</v>
      </c>
      <c r="I51" s="170">
        <f t="shared" si="4"/>
        <v>1870</v>
      </c>
      <c r="J51" s="170">
        <f t="shared" si="4"/>
        <v>1500</v>
      </c>
      <c r="K51" s="170">
        <f t="shared" si="4"/>
        <v>0</v>
      </c>
      <c r="L51" s="170">
        <f t="shared" si="4"/>
        <v>1440</v>
      </c>
      <c r="M51" s="170">
        <f t="shared" si="4"/>
        <v>2475</v>
      </c>
      <c r="N51" s="170">
        <f t="shared" si="4"/>
        <v>4325</v>
      </c>
      <c r="O51" s="170">
        <f t="shared" si="4"/>
        <v>2750</v>
      </c>
      <c r="P51" s="170">
        <f t="shared" si="4"/>
        <v>900</v>
      </c>
      <c r="Q51" s="170">
        <f t="shared" si="4"/>
        <v>0</v>
      </c>
      <c r="R51" s="170">
        <f t="shared" si="4"/>
        <v>0</v>
      </c>
      <c r="S51" s="170">
        <f t="shared" si="4"/>
        <v>0</v>
      </c>
      <c r="T51" s="170">
        <f t="shared" si="4"/>
        <v>0</v>
      </c>
      <c r="U51" s="170">
        <f t="shared" si="4"/>
        <v>0</v>
      </c>
    </row>
    <row r="52" spans="1:27" x14ac:dyDescent="0.25">
      <c r="A52" s="107" t="s">
        <v>72</v>
      </c>
      <c r="B52" s="252" t="s">
        <v>707</v>
      </c>
      <c r="C52" s="245">
        <f>SUM(D52:U52)</f>
        <v>250</v>
      </c>
      <c r="D52" s="245">
        <v>0</v>
      </c>
      <c r="E52" s="245">
        <v>0</v>
      </c>
      <c r="F52" s="245">
        <v>0</v>
      </c>
      <c r="G52" s="245">
        <v>0</v>
      </c>
      <c r="H52" s="245">
        <v>250</v>
      </c>
      <c r="I52" s="245">
        <v>0</v>
      </c>
      <c r="J52" s="245">
        <v>0</v>
      </c>
      <c r="K52" s="245">
        <v>0</v>
      </c>
      <c r="L52" s="245">
        <v>0</v>
      </c>
      <c r="M52" s="245">
        <v>0</v>
      </c>
      <c r="N52" s="245">
        <v>0</v>
      </c>
      <c r="O52" s="245">
        <v>0</v>
      </c>
      <c r="P52" s="245">
        <v>0</v>
      </c>
      <c r="Q52" s="245">
        <v>0</v>
      </c>
      <c r="R52" s="245">
        <v>0</v>
      </c>
      <c r="S52" s="245">
        <v>0</v>
      </c>
      <c r="T52" s="245">
        <v>0</v>
      </c>
      <c r="U52" s="245">
        <v>0</v>
      </c>
    </row>
    <row r="53" spans="1:27" x14ac:dyDescent="0.25">
      <c r="A53" s="107" t="s">
        <v>73</v>
      </c>
      <c r="B53" s="249" t="s">
        <v>708</v>
      </c>
      <c r="C53" s="245">
        <f t="shared" ref="C53:C86" si="5">SUM(D53:U53)</f>
        <v>250</v>
      </c>
      <c r="D53" s="245">
        <v>0</v>
      </c>
      <c r="E53" s="245">
        <v>0</v>
      </c>
      <c r="F53" s="245">
        <v>0</v>
      </c>
      <c r="G53" s="245">
        <v>250</v>
      </c>
      <c r="H53" s="245">
        <v>0</v>
      </c>
      <c r="I53" s="245">
        <v>0</v>
      </c>
      <c r="J53" s="245">
        <v>0</v>
      </c>
      <c r="K53" s="245">
        <v>0</v>
      </c>
      <c r="L53" s="245">
        <v>0</v>
      </c>
      <c r="M53" s="245">
        <v>0</v>
      </c>
      <c r="N53" s="245">
        <v>0</v>
      </c>
      <c r="O53" s="245">
        <v>0</v>
      </c>
      <c r="P53" s="245">
        <v>0</v>
      </c>
      <c r="Q53" s="245">
        <v>0</v>
      </c>
      <c r="R53" s="245">
        <v>0</v>
      </c>
      <c r="S53" s="245">
        <v>0</v>
      </c>
      <c r="T53" s="245">
        <v>0</v>
      </c>
      <c r="U53" s="245">
        <v>0</v>
      </c>
    </row>
    <row r="54" spans="1:27" x14ac:dyDescent="0.25">
      <c r="A54" s="107" t="s">
        <v>74</v>
      </c>
      <c r="B54" s="249" t="s">
        <v>709</v>
      </c>
      <c r="C54" s="245">
        <f t="shared" si="5"/>
        <v>250</v>
      </c>
      <c r="D54" s="245">
        <v>0</v>
      </c>
      <c r="E54" s="245">
        <v>0</v>
      </c>
      <c r="F54" s="245">
        <v>250</v>
      </c>
      <c r="G54" s="245">
        <v>0</v>
      </c>
      <c r="H54" s="245">
        <v>0</v>
      </c>
      <c r="I54" s="245">
        <v>0</v>
      </c>
      <c r="J54" s="245">
        <v>0</v>
      </c>
      <c r="K54" s="245">
        <v>0</v>
      </c>
      <c r="L54" s="245">
        <v>0</v>
      </c>
      <c r="M54" s="245">
        <v>0</v>
      </c>
      <c r="N54" s="245">
        <v>0</v>
      </c>
      <c r="O54" s="245">
        <v>0</v>
      </c>
      <c r="P54" s="245">
        <v>0</v>
      </c>
      <c r="Q54" s="245">
        <v>0</v>
      </c>
      <c r="R54" s="245">
        <v>0</v>
      </c>
      <c r="S54" s="245">
        <v>0</v>
      </c>
      <c r="T54" s="245">
        <v>0</v>
      </c>
      <c r="U54" s="245">
        <v>0</v>
      </c>
    </row>
    <row r="55" spans="1:27" x14ac:dyDescent="0.25">
      <c r="A55" s="107" t="s">
        <v>75</v>
      </c>
      <c r="B55" s="249" t="s">
        <v>710</v>
      </c>
      <c r="C55" s="245">
        <f t="shared" si="5"/>
        <v>250</v>
      </c>
      <c r="D55" s="245">
        <v>0</v>
      </c>
      <c r="E55" s="245">
        <v>0</v>
      </c>
      <c r="F55" s="245">
        <v>250</v>
      </c>
      <c r="G55" s="245">
        <v>0</v>
      </c>
      <c r="H55" s="245">
        <v>0</v>
      </c>
      <c r="I55" s="245">
        <v>0</v>
      </c>
      <c r="J55" s="245">
        <v>0</v>
      </c>
      <c r="K55" s="245">
        <v>0</v>
      </c>
      <c r="L55" s="245">
        <v>0</v>
      </c>
      <c r="M55" s="245">
        <v>0</v>
      </c>
      <c r="N55" s="245">
        <v>0</v>
      </c>
      <c r="O55" s="245">
        <v>0</v>
      </c>
      <c r="P55" s="245">
        <v>0</v>
      </c>
      <c r="Q55" s="245">
        <v>0</v>
      </c>
      <c r="R55" s="245">
        <v>0</v>
      </c>
      <c r="S55" s="245">
        <v>0</v>
      </c>
      <c r="T55" s="245">
        <v>0</v>
      </c>
      <c r="U55" s="245">
        <v>0</v>
      </c>
    </row>
    <row r="56" spans="1:27" x14ac:dyDescent="0.25">
      <c r="A56" s="107" t="s">
        <v>76</v>
      </c>
      <c r="B56" s="249" t="s">
        <v>711</v>
      </c>
      <c r="C56" s="245">
        <f t="shared" si="5"/>
        <v>420</v>
      </c>
      <c r="D56" s="245">
        <v>0</v>
      </c>
      <c r="E56" s="245">
        <v>0</v>
      </c>
      <c r="F56" s="245">
        <v>0</v>
      </c>
      <c r="G56" s="245">
        <v>0</v>
      </c>
      <c r="H56" s="245">
        <v>0</v>
      </c>
      <c r="I56" s="245">
        <v>420</v>
      </c>
      <c r="J56" s="245">
        <v>0</v>
      </c>
      <c r="K56" s="245">
        <v>0</v>
      </c>
      <c r="L56" s="245">
        <v>0</v>
      </c>
      <c r="M56" s="245">
        <v>0</v>
      </c>
      <c r="N56" s="245">
        <v>0</v>
      </c>
      <c r="O56" s="245">
        <v>0</v>
      </c>
      <c r="P56" s="245">
        <v>0</v>
      </c>
      <c r="Q56" s="245">
        <v>0</v>
      </c>
      <c r="R56" s="245">
        <v>0</v>
      </c>
      <c r="S56" s="245">
        <v>0</v>
      </c>
      <c r="T56" s="245">
        <v>0</v>
      </c>
      <c r="U56" s="245">
        <v>0</v>
      </c>
    </row>
    <row r="57" spans="1:27" x14ac:dyDescent="0.25">
      <c r="A57" s="107" t="s">
        <v>77</v>
      </c>
      <c r="B57" s="249" t="s">
        <v>712</v>
      </c>
      <c r="C57" s="245">
        <f t="shared" si="5"/>
        <v>420</v>
      </c>
      <c r="D57" s="245">
        <v>0</v>
      </c>
      <c r="E57" s="245">
        <v>0</v>
      </c>
      <c r="F57" s="245">
        <v>420</v>
      </c>
      <c r="G57" s="245">
        <v>0</v>
      </c>
      <c r="H57" s="245">
        <v>0</v>
      </c>
      <c r="I57" s="245">
        <v>0</v>
      </c>
      <c r="J57" s="245">
        <v>0</v>
      </c>
      <c r="K57" s="245">
        <v>0</v>
      </c>
      <c r="L57" s="245">
        <v>0</v>
      </c>
      <c r="M57" s="245">
        <v>0</v>
      </c>
      <c r="N57" s="245">
        <v>0</v>
      </c>
      <c r="O57" s="245">
        <v>0</v>
      </c>
      <c r="P57" s="245">
        <v>0</v>
      </c>
      <c r="Q57" s="245">
        <v>0</v>
      </c>
      <c r="R57" s="245">
        <v>0</v>
      </c>
      <c r="S57" s="245">
        <v>0</v>
      </c>
      <c r="T57" s="245">
        <v>0</v>
      </c>
      <c r="U57" s="245">
        <v>0</v>
      </c>
    </row>
    <row r="58" spans="1:27" x14ac:dyDescent="0.25">
      <c r="A58" s="107" t="s">
        <v>78</v>
      </c>
      <c r="B58" s="249" t="s">
        <v>713</v>
      </c>
      <c r="C58" s="245">
        <f t="shared" si="5"/>
        <v>540</v>
      </c>
      <c r="D58" s="245">
        <v>0</v>
      </c>
      <c r="E58" s="245">
        <v>0</v>
      </c>
      <c r="F58" s="245">
        <v>0</v>
      </c>
      <c r="G58" s="245">
        <v>0</v>
      </c>
      <c r="H58" s="245">
        <v>0</v>
      </c>
      <c r="I58" s="245">
        <v>0</v>
      </c>
      <c r="J58" s="245">
        <v>0</v>
      </c>
      <c r="K58" s="245">
        <v>0</v>
      </c>
      <c r="L58" s="245">
        <v>540</v>
      </c>
      <c r="M58" s="245">
        <v>0</v>
      </c>
      <c r="N58" s="245">
        <v>0</v>
      </c>
      <c r="O58" s="245">
        <v>0</v>
      </c>
      <c r="P58" s="245">
        <v>0</v>
      </c>
      <c r="Q58" s="245">
        <v>0</v>
      </c>
      <c r="R58" s="245">
        <v>0</v>
      </c>
      <c r="S58" s="245">
        <v>0</v>
      </c>
      <c r="T58" s="245">
        <v>0</v>
      </c>
      <c r="U58" s="245">
        <v>0</v>
      </c>
    </row>
    <row r="59" spans="1:27" x14ac:dyDescent="0.25">
      <c r="A59" s="107" t="s">
        <v>79</v>
      </c>
      <c r="B59" s="249" t="s">
        <v>714</v>
      </c>
      <c r="C59" s="245">
        <f t="shared" si="5"/>
        <v>540</v>
      </c>
      <c r="D59" s="245">
        <v>0</v>
      </c>
      <c r="E59" s="245">
        <v>0</v>
      </c>
      <c r="F59" s="245">
        <v>540</v>
      </c>
      <c r="G59" s="245">
        <v>0</v>
      </c>
      <c r="H59" s="245">
        <v>0</v>
      </c>
      <c r="I59" s="245">
        <v>0</v>
      </c>
      <c r="J59" s="245">
        <v>0</v>
      </c>
      <c r="K59" s="245">
        <v>0</v>
      </c>
      <c r="L59" s="245">
        <v>0</v>
      </c>
      <c r="M59" s="245">
        <v>0</v>
      </c>
      <c r="N59" s="245">
        <v>0</v>
      </c>
      <c r="O59" s="245">
        <v>0</v>
      </c>
      <c r="P59" s="245">
        <v>0</v>
      </c>
      <c r="Q59" s="245">
        <v>0</v>
      </c>
      <c r="R59" s="245">
        <v>0</v>
      </c>
      <c r="S59" s="245">
        <v>0</v>
      </c>
      <c r="T59" s="245">
        <v>0</v>
      </c>
      <c r="U59" s="245">
        <v>0</v>
      </c>
      <c r="AA59" s="92">
        <v>1</v>
      </c>
    </row>
    <row r="60" spans="1:27" x14ac:dyDescent="0.25">
      <c r="A60" s="107" t="s">
        <v>80</v>
      </c>
      <c r="B60" s="249" t="s">
        <v>715</v>
      </c>
      <c r="C60" s="245">
        <f t="shared" si="5"/>
        <v>660</v>
      </c>
      <c r="D60" s="245">
        <v>0</v>
      </c>
      <c r="E60" s="245">
        <v>0</v>
      </c>
      <c r="F60" s="245">
        <v>0</v>
      </c>
      <c r="G60" s="245">
        <v>660</v>
      </c>
      <c r="H60" s="245">
        <v>0</v>
      </c>
      <c r="I60" s="245">
        <v>0</v>
      </c>
      <c r="J60" s="245">
        <v>0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5">
        <v>0</v>
      </c>
      <c r="Q60" s="245">
        <v>0</v>
      </c>
      <c r="R60" s="245">
        <v>0</v>
      </c>
      <c r="S60" s="245">
        <v>0</v>
      </c>
      <c r="T60" s="245">
        <v>0</v>
      </c>
      <c r="U60" s="245">
        <v>0</v>
      </c>
    </row>
    <row r="61" spans="1:27" x14ac:dyDescent="0.25">
      <c r="A61" s="107" t="s">
        <v>81</v>
      </c>
      <c r="B61" s="249" t="s">
        <v>716</v>
      </c>
      <c r="C61" s="245">
        <f t="shared" si="5"/>
        <v>900</v>
      </c>
      <c r="D61" s="245">
        <v>0</v>
      </c>
      <c r="E61" s="245">
        <v>0</v>
      </c>
      <c r="F61" s="245">
        <v>0</v>
      </c>
      <c r="G61" s="245">
        <v>0</v>
      </c>
      <c r="H61" s="245">
        <v>0</v>
      </c>
      <c r="I61" s="245">
        <v>0</v>
      </c>
      <c r="J61" s="245">
        <v>0</v>
      </c>
      <c r="K61" s="245">
        <v>0</v>
      </c>
      <c r="L61" s="245">
        <v>0</v>
      </c>
      <c r="M61" s="245">
        <v>900</v>
      </c>
      <c r="N61" s="245">
        <v>0</v>
      </c>
      <c r="O61" s="245">
        <v>0</v>
      </c>
      <c r="P61" s="245">
        <v>0</v>
      </c>
      <c r="Q61" s="245">
        <v>0</v>
      </c>
      <c r="R61" s="245">
        <v>0</v>
      </c>
      <c r="S61" s="245">
        <v>0</v>
      </c>
      <c r="T61" s="245">
        <v>0</v>
      </c>
      <c r="U61" s="245">
        <v>0</v>
      </c>
    </row>
    <row r="62" spans="1:27" x14ac:dyDescent="0.25">
      <c r="A62" s="107" t="s">
        <v>82</v>
      </c>
      <c r="B62" s="249" t="s">
        <v>717</v>
      </c>
      <c r="C62" s="245">
        <f t="shared" si="5"/>
        <v>900</v>
      </c>
      <c r="D62" s="245">
        <v>0</v>
      </c>
      <c r="E62" s="245">
        <v>0</v>
      </c>
      <c r="F62" s="245">
        <v>0</v>
      </c>
      <c r="G62" s="245">
        <v>0</v>
      </c>
      <c r="H62" s="245">
        <v>900</v>
      </c>
      <c r="I62" s="245">
        <v>0</v>
      </c>
      <c r="J62" s="245">
        <v>0</v>
      </c>
      <c r="K62" s="245">
        <v>0</v>
      </c>
      <c r="L62" s="245">
        <v>0</v>
      </c>
      <c r="M62" s="245">
        <v>0</v>
      </c>
      <c r="N62" s="245">
        <v>0</v>
      </c>
      <c r="O62" s="245">
        <v>0</v>
      </c>
      <c r="P62" s="245">
        <v>0</v>
      </c>
      <c r="Q62" s="245">
        <v>0</v>
      </c>
      <c r="R62" s="245">
        <v>0</v>
      </c>
      <c r="S62" s="245">
        <v>0</v>
      </c>
      <c r="T62" s="245">
        <v>0</v>
      </c>
      <c r="U62" s="245">
        <v>0</v>
      </c>
    </row>
    <row r="63" spans="1:27" x14ac:dyDescent="0.25">
      <c r="A63" s="107" t="s">
        <v>83</v>
      </c>
      <c r="B63" s="249" t="s">
        <v>718</v>
      </c>
      <c r="C63" s="245">
        <f t="shared" si="5"/>
        <v>900</v>
      </c>
      <c r="D63" s="245">
        <v>0</v>
      </c>
      <c r="E63" s="245">
        <v>0</v>
      </c>
      <c r="F63" s="245">
        <v>0</v>
      </c>
      <c r="G63" s="245">
        <v>0</v>
      </c>
      <c r="H63" s="245">
        <v>0</v>
      </c>
      <c r="I63" s="245">
        <v>0</v>
      </c>
      <c r="J63" s="245">
        <v>0</v>
      </c>
      <c r="K63" s="245">
        <v>0</v>
      </c>
      <c r="L63" s="245">
        <v>900</v>
      </c>
      <c r="M63" s="245">
        <v>0</v>
      </c>
      <c r="N63" s="245">
        <v>0</v>
      </c>
      <c r="O63" s="245">
        <v>0</v>
      </c>
      <c r="P63" s="245">
        <v>0</v>
      </c>
      <c r="Q63" s="245">
        <v>0</v>
      </c>
      <c r="R63" s="245">
        <v>0</v>
      </c>
      <c r="S63" s="245">
        <v>0</v>
      </c>
      <c r="T63" s="245">
        <v>0</v>
      </c>
      <c r="U63" s="245">
        <v>0</v>
      </c>
    </row>
    <row r="64" spans="1:27" x14ac:dyDescent="0.25">
      <c r="A64" s="107" t="s">
        <v>84</v>
      </c>
      <c r="B64" s="249" t="s">
        <v>719</v>
      </c>
      <c r="C64" s="245">
        <f t="shared" si="5"/>
        <v>900</v>
      </c>
      <c r="D64" s="245">
        <v>0</v>
      </c>
      <c r="E64" s="245">
        <v>0</v>
      </c>
      <c r="F64" s="245">
        <v>0</v>
      </c>
      <c r="G64" s="245">
        <v>0</v>
      </c>
      <c r="H64" s="245">
        <v>900</v>
      </c>
      <c r="I64" s="245">
        <v>0</v>
      </c>
      <c r="J64" s="245">
        <v>0</v>
      </c>
      <c r="K64" s="245">
        <v>0</v>
      </c>
      <c r="L64" s="245">
        <v>0</v>
      </c>
      <c r="M64" s="245">
        <v>0</v>
      </c>
      <c r="N64" s="245">
        <v>0</v>
      </c>
      <c r="O64" s="245">
        <v>0</v>
      </c>
      <c r="P64" s="245">
        <v>0</v>
      </c>
      <c r="Q64" s="245">
        <v>0</v>
      </c>
      <c r="R64" s="245">
        <v>0</v>
      </c>
      <c r="S64" s="245">
        <v>0</v>
      </c>
      <c r="T64" s="245">
        <v>0</v>
      </c>
      <c r="U64" s="245">
        <v>0</v>
      </c>
    </row>
    <row r="65" spans="1:21" x14ac:dyDescent="0.25">
      <c r="A65" s="107" t="s">
        <v>742</v>
      </c>
      <c r="B65" s="249" t="s">
        <v>720</v>
      </c>
      <c r="C65" s="245">
        <f t="shared" si="5"/>
        <v>0</v>
      </c>
      <c r="D65" s="245">
        <v>0</v>
      </c>
      <c r="E65" s="245">
        <v>0</v>
      </c>
      <c r="F65" s="245">
        <v>0</v>
      </c>
      <c r="G65" s="245">
        <v>0</v>
      </c>
      <c r="H65" s="245">
        <v>0</v>
      </c>
      <c r="I65" s="245">
        <v>0</v>
      </c>
      <c r="J65" s="245">
        <v>0</v>
      </c>
      <c r="K65" s="245">
        <v>0</v>
      </c>
      <c r="L65" s="245">
        <v>0</v>
      </c>
      <c r="M65" s="245">
        <v>0</v>
      </c>
      <c r="N65" s="245">
        <v>0</v>
      </c>
      <c r="O65" s="245">
        <v>0</v>
      </c>
      <c r="P65" s="245">
        <v>0</v>
      </c>
      <c r="Q65" s="245">
        <v>0</v>
      </c>
      <c r="R65" s="245">
        <v>0</v>
      </c>
      <c r="S65" s="245">
        <v>0</v>
      </c>
      <c r="T65" s="245">
        <v>0</v>
      </c>
      <c r="U65" s="245">
        <v>0</v>
      </c>
    </row>
    <row r="66" spans="1:21" x14ac:dyDescent="0.25">
      <c r="A66" s="107" t="s">
        <v>743</v>
      </c>
      <c r="B66" s="249" t="s">
        <v>721</v>
      </c>
      <c r="C66" s="245">
        <f t="shared" si="5"/>
        <v>3200</v>
      </c>
      <c r="D66" s="245">
        <v>0</v>
      </c>
      <c r="E66" s="245">
        <v>0</v>
      </c>
      <c r="F66" s="245">
        <v>0</v>
      </c>
      <c r="G66" s="245">
        <v>0</v>
      </c>
      <c r="H66" s="245">
        <v>3200</v>
      </c>
      <c r="I66" s="245">
        <v>0</v>
      </c>
      <c r="J66" s="245">
        <v>0</v>
      </c>
      <c r="K66" s="245">
        <v>0</v>
      </c>
      <c r="L66" s="245">
        <v>0</v>
      </c>
      <c r="M66" s="245">
        <v>0</v>
      </c>
      <c r="N66" s="245">
        <v>0</v>
      </c>
      <c r="O66" s="245">
        <v>0</v>
      </c>
      <c r="P66" s="245">
        <v>0</v>
      </c>
      <c r="Q66" s="245">
        <v>0</v>
      </c>
      <c r="R66" s="245">
        <v>0</v>
      </c>
      <c r="S66" s="245">
        <v>0</v>
      </c>
      <c r="T66" s="245">
        <v>0</v>
      </c>
      <c r="U66" s="245">
        <v>0</v>
      </c>
    </row>
    <row r="67" spans="1:21" x14ac:dyDescent="0.25">
      <c r="A67" s="107" t="s">
        <v>744</v>
      </c>
      <c r="B67" s="249" t="s">
        <v>722</v>
      </c>
      <c r="C67" s="245">
        <f t="shared" si="5"/>
        <v>950</v>
      </c>
      <c r="D67" s="245">
        <v>0</v>
      </c>
      <c r="E67" s="245">
        <v>0</v>
      </c>
      <c r="F67" s="245">
        <v>950</v>
      </c>
      <c r="G67" s="245">
        <v>0</v>
      </c>
      <c r="H67" s="245">
        <v>0</v>
      </c>
      <c r="I67" s="245">
        <v>0</v>
      </c>
      <c r="J67" s="245">
        <v>0</v>
      </c>
      <c r="K67" s="245">
        <v>0</v>
      </c>
      <c r="L67" s="245">
        <v>0</v>
      </c>
      <c r="M67" s="245">
        <v>0</v>
      </c>
      <c r="N67" s="245">
        <v>0</v>
      </c>
      <c r="O67" s="245">
        <v>0</v>
      </c>
      <c r="P67" s="245">
        <v>0</v>
      </c>
      <c r="Q67" s="245">
        <v>0</v>
      </c>
      <c r="R67" s="245">
        <v>0</v>
      </c>
      <c r="S67" s="245">
        <v>0</v>
      </c>
      <c r="T67" s="245">
        <v>0</v>
      </c>
      <c r="U67" s="245">
        <v>0</v>
      </c>
    </row>
    <row r="68" spans="1:21" x14ac:dyDescent="0.25">
      <c r="A68" s="107" t="s">
        <v>745</v>
      </c>
      <c r="B68" s="249" t="s">
        <v>723</v>
      </c>
      <c r="C68" s="245">
        <f t="shared" si="5"/>
        <v>1450</v>
      </c>
      <c r="D68" s="245">
        <v>0</v>
      </c>
      <c r="E68" s="245">
        <v>0</v>
      </c>
      <c r="F68" s="245">
        <v>0</v>
      </c>
      <c r="G68" s="245">
        <v>0</v>
      </c>
      <c r="H68" s="245">
        <v>0</v>
      </c>
      <c r="I68" s="245">
        <v>1450</v>
      </c>
      <c r="J68" s="245">
        <v>0</v>
      </c>
      <c r="K68" s="245">
        <v>0</v>
      </c>
      <c r="L68" s="245">
        <v>0</v>
      </c>
      <c r="M68" s="245">
        <v>0</v>
      </c>
      <c r="N68" s="245">
        <v>0</v>
      </c>
      <c r="O68" s="245">
        <v>0</v>
      </c>
      <c r="P68" s="245">
        <v>0</v>
      </c>
      <c r="Q68" s="245">
        <v>0</v>
      </c>
      <c r="R68" s="245">
        <v>0</v>
      </c>
      <c r="S68" s="245">
        <v>0</v>
      </c>
      <c r="T68" s="245">
        <v>0</v>
      </c>
      <c r="U68" s="245">
        <v>0</v>
      </c>
    </row>
    <row r="69" spans="1:21" x14ac:dyDescent="0.25">
      <c r="A69" s="107" t="s">
        <v>746</v>
      </c>
      <c r="B69" s="249" t="s">
        <v>724</v>
      </c>
      <c r="C69" s="245">
        <f t="shared" si="5"/>
        <v>2750</v>
      </c>
      <c r="D69" s="245">
        <v>0</v>
      </c>
      <c r="E69" s="245"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0</v>
      </c>
      <c r="L69" s="245">
        <v>0</v>
      </c>
      <c r="M69" s="245">
        <v>0</v>
      </c>
      <c r="N69" s="245">
        <v>2750</v>
      </c>
      <c r="O69" s="245">
        <v>0</v>
      </c>
      <c r="P69" s="245">
        <v>0</v>
      </c>
      <c r="Q69" s="245">
        <v>0</v>
      </c>
      <c r="R69" s="245">
        <v>0</v>
      </c>
      <c r="S69" s="245">
        <v>0</v>
      </c>
      <c r="T69" s="245">
        <v>0</v>
      </c>
      <c r="U69" s="245">
        <v>0</v>
      </c>
    </row>
    <row r="70" spans="1:21" x14ac:dyDescent="0.25">
      <c r="A70" s="107" t="s">
        <v>747</v>
      </c>
      <c r="B70" s="249" t="s">
        <v>725</v>
      </c>
      <c r="C70" s="245">
        <f t="shared" si="5"/>
        <v>2750</v>
      </c>
      <c r="D70" s="245">
        <v>0</v>
      </c>
      <c r="E70" s="245">
        <v>0</v>
      </c>
      <c r="F70" s="245">
        <v>0</v>
      </c>
      <c r="G70" s="245">
        <v>0</v>
      </c>
      <c r="H70" s="245">
        <v>0</v>
      </c>
      <c r="I70" s="245">
        <v>0</v>
      </c>
      <c r="J70" s="245">
        <v>0</v>
      </c>
      <c r="K70" s="245">
        <v>0</v>
      </c>
      <c r="L70" s="245">
        <v>0</v>
      </c>
      <c r="M70" s="245">
        <v>0</v>
      </c>
      <c r="N70" s="245">
        <v>0</v>
      </c>
      <c r="O70" s="245">
        <v>2750</v>
      </c>
      <c r="P70" s="245">
        <v>0</v>
      </c>
      <c r="Q70" s="245">
        <v>0</v>
      </c>
      <c r="R70" s="245">
        <v>0</v>
      </c>
      <c r="S70" s="245">
        <v>0</v>
      </c>
      <c r="T70" s="245">
        <v>0</v>
      </c>
      <c r="U70" s="245">
        <v>0</v>
      </c>
    </row>
    <row r="71" spans="1:21" x14ac:dyDescent="0.25">
      <c r="A71" s="107" t="s">
        <v>748</v>
      </c>
      <c r="B71" s="249" t="s">
        <v>726</v>
      </c>
      <c r="C71" s="245">
        <f t="shared" si="5"/>
        <v>900</v>
      </c>
      <c r="D71" s="245">
        <v>0</v>
      </c>
      <c r="E71" s="245">
        <v>0</v>
      </c>
      <c r="F71" s="245">
        <v>0</v>
      </c>
      <c r="G71" s="245">
        <v>0</v>
      </c>
      <c r="H71" s="245">
        <v>0</v>
      </c>
      <c r="I71" s="245">
        <v>0</v>
      </c>
      <c r="J71" s="245">
        <v>0</v>
      </c>
      <c r="K71" s="245">
        <v>0</v>
      </c>
      <c r="L71" s="245">
        <v>0</v>
      </c>
      <c r="M71" s="245">
        <v>0</v>
      </c>
      <c r="N71" s="245">
        <v>0</v>
      </c>
      <c r="O71" s="245">
        <v>0</v>
      </c>
      <c r="P71" s="245">
        <v>900</v>
      </c>
      <c r="Q71" s="245">
        <v>0</v>
      </c>
      <c r="R71" s="245">
        <v>0</v>
      </c>
      <c r="S71" s="245">
        <v>0</v>
      </c>
      <c r="T71" s="245">
        <v>0</v>
      </c>
      <c r="U71" s="245">
        <v>0</v>
      </c>
    </row>
    <row r="72" spans="1:21" ht="38.25" x14ac:dyDescent="0.25">
      <c r="A72" s="107" t="s">
        <v>749</v>
      </c>
      <c r="B72" s="249" t="s">
        <v>727</v>
      </c>
      <c r="C72" s="245">
        <f t="shared" si="5"/>
        <v>354</v>
      </c>
      <c r="D72" s="245">
        <v>0</v>
      </c>
      <c r="E72" s="245">
        <v>0</v>
      </c>
      <c r="F72" s="245">
        <v>354</v>
      </c>
      <c r="G72" s="245">
        <v>0</v>
      </c>
      <c r="H72" s="245">
        <v>0</v>
      </c>
      <c r="I72" s="245">
        <v>0</v>
      </c>
      <c r="J72" s="245">
        <v>0</v>
      </c>
      <c r="K72" s="245">
        <v>0</v>
      </c>
      <c r="L72" s="245">
        <v>0</v>
      </c>
      <c r="M72" s="245">
        <v>0</v>
      </c>
      <c r="N72" s="245">
        <v>0</v>
      </c>
      <c r="O72" s="245">
        <v>0</v>
      </c>
      <c r="P72" s="245">
        <v>0</v>
      </c>
      <c r="Q72" s="245">
        <v>0</v>
      </c>
      <c r="R72" s="245">
        <v>0</v>
      </c>
      <c r="S72" s="245">
        <v>0</v>
      </c>
      <c r="T72" s="245">
        <v>0</v>
      </c>
      <c r="U72" s="245">
        <v>0</v>
      </c>
    </row>
    <row r="73" spans="1:21" ht="25.5" x14ac:dyDescent="0.25">
      <c r="A73" s="107" t="s">
        <v>750</v>
      </c>
      <c r="B73" s="249" t="s">
        <v>728</v>
      </c>
      <c r="C73" s="245">
        <f t="shared" si="5"/>
        <v>1149</v>
      </c>
      <c r="D73" s="245">
        <v>0</v>
      </c>
      <c r="E73" s="245">
        <v>0</v>
      </c>
      <c r="F73" s="245">
        <v>0</v>
      </c>
      <c r="G73" s="245">
        <v>1149</v>
      </c>
      <c r="H73" s="245">
        <v>0</v>
      </c>
      <c r="I73" s="245">
        <v>0</v>
      </c>
      <c r="J73" s="245">
        <v>0</v>
      </c>
      <c r="K73" s="245">
        <v>0</v>
      </c>
      <c r="L73" s="245">
        <v>0</v>
      </c>
      <c r="M73" s="245">
        <v>0</v>
      </c>
      <c r="N73" s="245">
        <v>0</v>
      </c>
      <c r="O73" s="245">
        <v>0</v>
      </c>
      <c r="P73" s="245">
        <v>0</v>
      </c>
      <c r="Q73" s="245">
        <v>0</v>
      </c>
      <c r="R73" s="245">
        <v>0</v>
      </c>
      <c r="S73" s="245">
        <v>0</v>
      </c>
      <c r="T73" s="245">
        <v>0</v>
      </c>
      <c r="U73" s="245">
        <v>0</v>
      </c>
    </row>
    <row r="74" spans="1:21" x14ac:dyDescent="0.25">
      <c r="A74" s="107" t="s">
        <v>751</v>
      </c>
      <c r="B74" s="249" t="s">
        <v>729</v>
      </c>
      <c r="C74" s="245">
        <f t="shared" si="5"/>
        <v>0</v>
      </c>
      <c r="D74" s="245">
        <v>0</v>
      </c>
      <c r="E74" s="245">
        <v>0</v>
      </c>
      <c r="F74" s="245">
        <v>0</v>
      </c>
      <c r="G74" s="245">
        <v>0</v>
      </c>
      <c r="H74" s="245">
        <v>0</v>
      </c>
      <c r="I74" s="245">
        <v>0</v>
      </c>
      <c r="J74" s="245">
        <v>0</v>
      </c>
      <c r="K74" s="245">
        <v>0</v>
      </c>
      <c r="L74" s="245">
        <v>0</v>
      </c>
      <c r="M74" s="245">
        <v>0</v>
      </c>
      <c r="N74" s="245">
        <v>0</v>
      </c>
      <c r="O74" s="245">
        <v>0</v>
      </c>
      <c r="P74" s="245">
        <v>0</v>
      </c>
      <c r="Q74" s="245">
        <v>0</v>
      </c>
      <c r="R74" s="245">
        <v>0</v>
      </c>
      <c r="S74" s="245">
        <v>0</v>
      </c>
      <c r="T74" s="245">
        <v>0</v>
      </c>
      <c r="U74" s="245">
        <v>0</v>
      </c>
    </row>
    <row r="75" spans="1:21" x14ac:dyDescent="0.25">
      <c r="A75" s="107" t="s">
        <v>752</v>
      </c>
      <c r="B75" s="249" t="s">
        <v>730</v>
      </c>
      <c r="C75" s="245">
        <f t="shared" si="5"/>
        <v>1500</v>
      </c>
      <c r="D75" s="245">
        <v>0</v>
      </c>
      <c r="E75" s="245">
        <v>0</v>
      </c>
      <c r="F75" s="245">
        <v>0</v>
      </c>
      <c r="G75" s="245">
        <v>0</v>
      </c>
      <c r="H75" s="245">
        <v>0</v>
      </c>
      <c r="I75" s="245">
        <v>0</v>
      </c>
      <c r="J75" s="245">
        <v>1500</v>
      </c>
      <c r="K75" s="245">
        <v>0</v>
      </c>
      <c r="L75" s="245">
        <v>0</v>
      </c>
      <c r="M75" s="245">
        <v>0</v>
      </c>
      <c r="N75" s="245">
        <v>0</v>
      </c>
      <c r="O75" s="245">
        <v>0</v>
      </c>
      <c r="P75" s="245">
        <v>0</v>
      </c>
      <c r="Q75" s="245">
        <v>0</v>
      </c>
      <c r="R75" s="245">
        <v>0</v>
      </c>
      <c r="S75" s="245">
        <v>0</v>
      </c>
      <c r="T75" s="245">
        <v>0</v>
      </c>
      <c r="U75" s="245">
        <v>0</v>
      </c>
    </row>
    <row r="76" spans="1:21" ht="25.5" x14ac:dyDescent="0.25">
      <c r="A76" s="107" t="s">
        <v>753</v>
      </c>
      <c r="B76" s="249" t="s">
        <v>731</v>
      </c>
      <c r="C76" s="245">
        <f t="shared" si="5"/>
        <v>1805</v>
      </c>
      <c r="D76" s="245">
        <v>0</v>
      </c>
      <c r="E76" s="245">
        <v>0</v>
      </c>
      <c r="F76" s="245">
        <v>1805</v>
      </c>
      <c r="G76" s="245">
        <v>0</v>
      </c>
      <c r="H76" s="245">
        <v>0</v>
      </c>
      <c r="I76" s="245">
        <v>0</v>
      </c>
      <c r="J76" s="245">
        <v>0</v>
      </c>
      <c r="K76" s="245">
        <v>0</v>
      </c>
      <c r="L76" s="245">
        <v>0</v>
      </c>
      <c r="M76" s="245">
        <v>0</v>
      </c>
      <c r="N76" s="245">
        <v>0</v>
      </c>
      <c r="O76" s="245">
        <v>0</v>
      </c>
      <c r="P76" s="245">
        <v>0</v>
      </c>
      <c r="Q76" s="245">
        <v>0</v>
      </c>
      <c r="R76" s="245">
        <v>0</v>
      </c>
      <c r="S76" s="245">
        <v>0</v>
      </c>
      <c r="T76" s="245">
        <v>0</v>
      </c>
      <c r="U76" s="245">
        <v>0</v>
      </c>
    </row>
    <row r="77" spans="1:21" x14ac:dyDescent="0.25">
      <c r="A77" s="107" t="s">
        <v>754</v>
      </c>
      <c r="B77" s="249" t="s">
        <v>732</v>
      </c>
      <c r="C77" s="245">
        <f t="shared" si="5"/>
        <v>511</v>
      </c>
      <c r="D77" s="245">
        <v>0</v>
      </c>
      <c r="E77" s="245">
        <v>0</v>
      </c>
      <c r="F77" s="245">
        <v>0</v>
      </c>
      <c r="G77" s="245">
        <v>511</v>
      </c>
      <c r="H77" s="245">
        <v>0</v>
      </c>
      <c r="I77" s="245">
        <v>0</v>
      </c>
      <c r="J77" s="245">
        <v>0</v>
      </c>
      <c r="K77" s="245">
        <v>0</v>
      </c>
      <c r="L77" s="245">
        <v>0</v>
      </c>
      <c r="M77" s="245">
        <v>0</v>
      </c>
      <c r="N77" s="245">
        <v>0</v>
      </c>
      <c r="O77" s="245">
        <v>0</v>
      </c>
      <c r="P77" s="245">
        <v>0</v>
      </c>
      <c r="Q77" s="245">
        <v>0</v>
      </c>
      <c r="R77" s="245">
        <v>0</v>
      </c>
      <c r="S77" s="245">
        <v>0</v>
      </c>
      <c r="T77" s="245">
        <v>0</v>
      </c>
      <c r="U77" s="245">
        <v>0</v>
      </c>
    </row>
    <row r="78" spans="1:21" x14ac:dyDescent="0.25">
      <c r="A78" s="107" t="s">
        <v>755</v>
      </c>
      <c r="B78" s="249" t="s">
        <v>733</v>
      </c>
      <c r="C78" s="245">
        <f t="shared" si="5"/>
        <v>1575</v>
      </c>
      <c r="D78" s="245">
        <v>0</v>
      </c>
      <c r="E78" s="245">
        <v>0</v>
      </c>
      <c r="F78" s="245">
        <v>0</v>
      </c>
      <c r="G78" s="245">
        <v>0</v>
      </c>
      <c r="H78" s="245">
        <v>0</v>
      </c>
      <c r="I78" s="245">
        <v>0</v>
      </c>
      <c r="J78" s="245">
        <v>0</v>
      </c>
      <c r="K78" s="245">
        <v>0</v>
      </c>
      <c r="L78" s="245">
        <v>0</v>
      </c>
      <c r="M78" s="245">
        <v>0</v>
      </c>
      <c r="N78" s="245">
        <v>1575</v>
      </c>
      <c r="O78" s="245">
        <v>0</v>
      </c>
      <c r="P78" s="245">
        <v>0</v>
      </c>
      <c r="Q78" s="245">
        <v>0</v>
      </c>
      <c r="R78" s="245">
        <v>0</v>
      </c>
      <c r="S78" s="245">
        <v>0</v>
      </c>
      <c r="T78" s="245">
        <v>0</v>
      </c>
      <c r="U78" s="245">
        <v>0</v>
      </c>
    </row>
    <row r="79" spans="1:21" x14ac:dyDescent="0.25">
      <c r="A79" s="107" t="s">
        <v>756</v>
      </c>
      <c r="B79" s="249" t="s">
        <v>734</v>
      </c>
      <c r="C79" s="245">
        <f t="shared" si="5"/>
        <v>2278.5</v>
      </c>
      <c r="D79" s="245">
        <v>0</v>
      </c>
      <c r="E79" s="245">
        <v>0</v>
      </c>
      <c r="F79" s="245">
        <v>0</v>
      </c>
      <c r="G79" s="245">
        <v>2278.5</v>
      </c>
      <c r="H79" s="245">
        <v>0</v>
      </c>
      <c r="I79" s="245">
        <v>0</v>
      </c>
      <c r="J79" s="245">
        <v>0</v>
      </c>
      <c r="K79" s="245">
        <v>0</v>
      </c>
      <c r="L79" s="245">
        <v>0</v>
      </c>
      <c r="M79" s="245">
        <v>0</v>
      </c>
      <c r="N79" s="245">
        <v>0</v>
      </c>
      <c r="O79" s="245">
        <v>0</v>
      </c>
      <c r="P79" s="245">
        <v>0</v>
      </c>
      <c r="Q79" s="245">
        <v>0</v>
      </c>
      <c r="R79" s="245">
        <v>0</v>
      </c>
      <c r="S79" s="245">
        <v>0</v>
      </c>
      <c r="T79" s="245">
        <v>0</v>
      </c>
      <c r="U79" s="245">
        <v>0</v>
      </c>
    </row>
    <row r="80" spans="1:21" x14ac:dyDescent="0.25">
      <c r="A80" s="107" t="s">
        <v>757</v>
      </c>
      <c r="B80" s="249" t="s">
        <v>735</v>
      </c>
      <c r="C80" s="245">
        <f t="shared" si="5"/>
        <v>1500</v>
      </c>
      <c r="D80" s="245">
        <v>0</v>
      </c>
      <c r="E80" s="245">
        <v>0</v>
      </c>
      <c r="F80" s="245">
        <v>0</v>
      </c>
      <c r="G80" s="245">
        <v>0</v>
      </c>
      <c r="H80" s="245">
        <v>1500</v>
      </c>
      <c r="I80" s="245">
        <v>0</v>
      </c>
      <c r="J80" s="245">
        <v>0</v>
      </c>
      <c r="K80" s="245">
        <v>0</v>
      </c>
      <c r="L80" s="245">
        <v>0</v>
      </c>
      <c r="M80" s="245">
        <v>0</v>
      </c>
      <c r="N80" s="245">
        <v>0</v>
      </c>
      <c r="O80" s="245">
        <v>0</v>
      </c>
      <c r="P80" s="245">
        <v>0</v>
      </c>
      <c r="Q80" s="245">
        <v>0</v>
      </c>
      <c r="R80" s="245">
        <v>0</v>
      </c>
      <c r="S80" s="245">
        <v>0</v>
      </c>
      <c r="T80" s="245">
        <v>0</v>
      </c>
      <c r="U80" s="245">
        <v>0</v>
      </c>
    </row>
    <row r="81" spans="1:21" x14ac:dyDescent="0.25">
      <c r="A81" s="107" t="s">
        <v>758</v>
      </c>
      <c r="B81" s="249" t="s">
        <v>736</v>
      </c>
      <c r="C81" s="245">
        <f t="shared" si="5"/>
        <v>576</v>
      </c>
      <c r="D81" s="245">
        <v>0</v>
      </c>
      <c r="E81" s="245">
        <v>0</v>
      </c>
      <c r="F81" s="245">
        <v>0</v>
      </c>
      <c r="G81" s="245">
        <v>576</v>
      </c>
      <c r="H81" s="245">
        <v>0</v>
      </c>
      <c r="I81" s="245">
        <v>0</v>
      </c>
      <c r="J81" s="245">
        <v>0</v>
      </c>
      <c r="K81" s="245">
        <v>0</v>
      </c>
      <c r="L81" s="245">
        <v>0</v>
      </c>
      <c r="M81" s="245">
        <v>0</v>
      </c>
      <c r="N81" s="245">
        <v>0</v>
      </c>
      <c r="O81" s="245">
        <v>0</v>
      </c>
      <c r="P81" s="245">
        <v>0</v>
      </c>
      <c r="Q81" s="245">
        <v>0</v>
      </c>
      <c r="R81" s="245">
        <v>0</v>
      </c>
      <c r="S81" s="245">
        <v>0</v>
      </c>
      <c r="T81" s="245">
        <v>0</v>
      </c>
      <c r="U81" s="245">
        <v>0</v>
      </c>
    </row>
    <row r="82" spans="1:21" x14ac:dyDescent="0.25">
      <c r="A82" s="107" t="s">
        <v>759</v>
      </c>
      <c r="B82" s="249" t="s">
        <v>737</v>
      </c>
      <c r="C82" s="245">
        <f t="shared" si="5"/>
        <v>585</v>
      </c>
      <c r="D82" s="245">
        <v>0</v>
      </c>
      <c r="E82" s="245">
        <v>0</v>
      </c>
      <c r="F82" s="245">
        <v>0</v>
      </c>
      <c r="G82" s="245">
        <v>585</v>
      </c>
      <c r="H82" s="245">
        <v>0</v>
      </c>
      <c r="I82" s="245">
        <v>0</v>
      </c>
      <c r="J82" s="245">
        <v>0</v>
      </c>
      <c r="K82" s="245">
        <v>0</v>
      </c>
      <c r="L82" s="245">
        <v>0</v>
      </c>
      <c r="M82" s="245">
        <v>0</v>
      </c>
      <c r="N82" s="245">
        <v>0</v>
      </c>
      <c r="O82" s="245">
        <v>0</v>
      </c>
      <c r="P82" s="245">
        <v>0</v>
      </c>
      <c r="Q82" s="245">
        <v>0</v>
      </c>
      <c r="R82" s="245">
        <v>0</v>
      </c>
      <c r="S82" s="245">
        <v>0</v>
      </c>
      <c r="T82" s="245">
        <v>0</v>
      </c>
      <c r="U82" s="245">
        <v>0</v>
      </c>
    </row>
    <row r="83" spans="1:21" ht="25.5" x14ac:dyDescent="0.25">
      <c r="A83" s="107" t="s">
        <v>760</v>
      </c>
      <c r="B83" s="249" t="s">
        <v>738</v>
      </c>
      <c r="C83" s="245">
        <f t="shared" si="5"/>
        <v>0</v>
      </c>
      <c r="D83" s="245">
        <v>0</v>
      </c>
      <c r="E83" s="245">
        <v>0</v>
      </c>
      <c r="F83" s="245">
        <v>0</v>
      </c>
      <c r="G83" s="245">
        <v>0</v>
      </c>
      <c r="H83" s="245">
        <v>0</v>
      </c>
      <c r="I83" s="245">
        <v>0</v>
      </c>
      <c r="J83" s="245">
        <v>0</v>
      </c>
      <c r="K83" s="245">
        <v>0</v>
      </c>
      <c r="L83" s="245">
        <v>0</v>
      </c>
      <c r="M83" s="245">
        <v>0</v>
      </c>
      <c r="N83" s="245">
        <v>0</v>
      </c>
      <c r="O83" s="245">
        <v>0</v>
      </c>
      <c r="P83" s="245">
        <v>0</v>
      </c>
      <c r="Q83" s="245">
        <v>0</v>
      </c>
      <c r="R83" s="245">
        <v>0</v>
      </c>
      <c r="S83" s="245">
        <v>0</v>
      </c>
      <c r="T83" s="245">
        <v>0</v>
      </c>
      <c r="U83" s="245">
        <v>0</v>
      </c>
    </row>
    <row r="84" spans="1:21" ht="25.5" x14ac:dyDescent="0.25">
      <c r="A84" s="107" t="s">
        <v>761</v>
      </c>
      <c r="B84" s="249" t="s">
        <v>739</v>
      </c>
      <c r="C84" s="245">
        <f t="shared" si="5"/>
        <v>0</v>
      </c>
      <c r="D84" s="245">
        <v>0</v>
      </c>
      <c r="E84" s="245">
        <v>0</v>
      </c>
      <c r="F84" s="245">
        <v>0</v>
      </c>
      <c r="G84" s="245">
        <v>0</v>
      </c>
      <c r="H84" s="245">
        <v>0</v>
      </c>
      <c r="I84" s="245">
        <v>0</v>
      </c>
      <c r="J84" s="245">
        <v>0</v>
      </c>
      <c r="K84" s="245">
        <v>0</v>
      </c>
      <c r="L84" s="245">
        <v>0</v>
      </c>
      <c r="M84" s="245">
        <v>0</v>
      </c>
      <c r="N84" s="245">
        <v>0</v>
      </c>
      <c r="O84" s="245">
        <v>0</v>
      </c>
      <c r="P84" s="245">
        <v>0</v>
      </c>
      <c r="Q84" s="245">
        <v>0</v>
      </c>
      <c r="R84" s="245">
        <v>0</v>
      </c>
      <c r="S84" s="245">
        <v>0</v>
      </c>
      <c r="T84" s="245">
        <v>0</v>
      </c>
      <c r="U84" s="245">
        <v>0</v>
      </c>
    </row>
    <row r="85" spans="1:21" x14ac:dyDescent="0.25">
      <c r="A85" s="107" t="s">
        <v>762</v>
      </c>
      <c r="B85" s="249" t="s">
        <v>740</v>
      </c>
      <c r="C85" s="245">
        <f t="shared" si="5"/>
        <v>805</v>
      </c>
      <c r="D85" s="245">
        <v>0</v>
      </c>
      <c r="E85" s="245">
        <v>0</v>
      </c>
      <c r="F85" s="245">
        <v>805</v>
      </c>
      <c r="G85" s="245">
        <v>0</v>
      </c>
      <c r="H85" s="245">
        <v>0</v>
      </c>
      <c r="I85" s="245">
        <v>0</v>
      </c>
      <c r="J85" s="245">
        <v>0</v>
      </c>
      <c r="K85" s="245">
        <v>0</v>
      </c>
      <c r="L85" s="245">
        <v>0</v>
      </c>
      <c r="M85" s="245">
        <v>0</v>
      </c>
      <c r="N85" s="245">
        <v>0</v>
      </c>
      <c r="O85" s="245">
        <v>0</v>
      </c>
      <c r="P85" s="245">
        <v>0</v>
      </c>
      <c r="Q85" s="245">
        <v>0</v>
      </c>
      <c r="R85" s="245">
        <v>0</v>
      </c>
      <c r="S85" s="245">
        <v>0</v>
      </c>
      <c r="T85" s="245">
        <v>0</v>
      </c>
      <c r="U85" s="245">
        <v>0</v>
      </c>
    </row>
    <row r="86" spans="1:21" x14ac:dyDescent="0.25">
      <c r="A86" s="107" t="s">
        <v>763</v>
      </c>
      <c r="B86" s="249" t="s">
        <v>741</v>
      </c>
      <c r="C86" s="245">
        <f t="shared" si="5"/>
        <v>1575</v>
      </c>
      <c r="D86" s="245">
        <v>0</v>
      </c>
      <c r="E86" s="245">
        <v>0</v>
      </c>
      <c r="F86" s="245">
        <v>0</v>
      </c>
      <c r="G86" s="245">
        <v>0</v>
      </c>
      <c r="H86" s="245">
        <v>0</v>
      </c>
      <c r="I86" s="245">
        <v>0</v>
      </c>
      <c r="J86" s="245">
        <v>0</v>
      </c>
      <c r="K86" s="245">
        <v>0</v>
      </c>
      <c r="L86" s="245">
        <v>0</v>
      </c>
      <c r="M86" s="245">
        <v>1575</v>
      </c>
      <c r="N86" s="245">
        <v>0</v>
      </c>
      <c r="O86" s="245">
        <v>0</v>
      </c>
      <c r="P86" s="245">
        <v>0</v>
      </c>
      <c r="Q86" s="245">
        <v>0</v>
      </c>
      <c r="R86" s="245">
        <v>0</v>
      </c>
      <c r="S86" s="245">
        <v>0</v>
      </c>
      <c r="T86" s="245">
        <v>0</v>
      </c>
      <c r="U86" s="245">
        <v>0</v>
      </c>
    </row>
    <row r="87" spans="1:21" x14ac:dyDescent="0.25">
      <c r="A87" s="202">
        <v>4</v>
      </c>
      <c r="B87" s="215" t="s">
        <v>444</v>
      </c>
      <c r="C87" s="170"/>
      <c r="D87" s="170">
        <v>0</v>
      </c>
      <c r="E87" s="248">
        <v>0</v>
      </c>
      <c r="F87" s="248">
        <v>0</v>
      </c>
      <c r="G87" s="248">
        <v>0</v>
      </c>
      <c r="H87" s="248">
        <v>0</v>
      </c>
      <c r="I87" s="248">
        <v>0</v>
      </c>
      <c r="J87" s="248">
        <v>0</v>
      </c>
      <c r="K87" s="248">
        <v>0</v>
      </c>
      <c r="L87" s="248">
        <v>0</v>
      </c>
      <c r="M87" s="248">
        <v>0</v>
      </c>
      <c r="N87" s="248">
        <v>0</v>
      </c>
      <c r="O87" s="248">
        <v>0</v>
      </c>
      <c r="P87" s="248">
        <v>0</v>
      </c>
      <c r="Q87" s="248">
        <v>0</v>
      </c>
      <c r="R87" s="248">
        <v>0</v>
      </c>
      <c r="S87" s="248">
        <v>0</v>
      </c>
      <c r="T87" s="248">
        <v>0</v>
      </c>
      <c r="U87" s="248">
        <v>0</v>
      </c>
    </row>
    <row r="88" spans="1:21" x14ac:dyDescent="0.25">
      <c r="C88" s="217">
        <f>C3+C27+C51</f>
        <v>599094.69999999984</v>
      </c>
      <c r="D88" s="217">
        <f t="shared" ref="D88:U88" si="6">D3+D27+D51+D87</f>
        <v>26456.7</v>
      </c>
      <c r="E88" s="217">
        <f t="shared" si="6"/>
        <v>20556.5</v>
      </c>
      <c r="F88" s="217">
        <f t="shared" si="6"/>
        <v>37792</v>
      </c>
      <c r="G88" s="217">
        <f t="shared" si="6"/>
        <v>38427.5</v>
      </c>
      <c r="H88" s="217">
        <f t="shared" si="6"/>
        <v>39168</v>
      </c>
      <c r="I88" s="217">
        <f t="shared" si="6"/>
        <v>34288</v>
      </c>
      <c r="J88" s="217">
        <f t="shared" si="6"/>
        <v>33918</v>
      </c>
      <c r="K88" s="217">
        <f t="shared" si="6"/>
        <v>32418.000000000004</v>
      </c>
      <c r="L88" s="217">
        <f t="shared" si="6"/>
        <v>33858</v>
      </c>
      <c r="M88" s="217">
        <f t="shared" si="6"/>
        <v>34893</v>
      </c>
      <c r="N88" s="217">
        <f t="shared" si="6"/>
        <v>36743</v>
      </c>
      <c r="O88" s="217">
        <f t="shared" si="6"/>
        <v>35168</v>
      </c>
      <c r="P88" s="217">
        <f t="shared" si="6"/>
        <v>33318</v>
      </c>
      <c r="Q88" s="217">
        <f t="shared" si="6"/>
        <v>32418.000000000004</v>
      </c>
      <c r="R88" s="217">
        <f t="shared" si="6"/>
        <v>32418.000000000004</v>
      </c>
      <c r="S88" s="217">
        <f t="shared" si="6"/>
        <v>32418.000000000004</v>
      </c>
      <c r="T88" s="217">
        <f t="shared" si="6"/>
        <v>32418.000000000004</v>
      </c>
      <c r="U88" s="217">
        <f t="shared" si="6"/>
        <v>32418.000000000004</v>
      </c>
    </row>
  </sheetData>
  <mergeCells count="3">
    <mergeCell ref="C1:U1"/>
    <mergeCell ref="A1:A2"/>
    <mergeCell ref="B1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90"/>
  <sheetViews>
    <sheetView zoomScale="110" zoomScaleNormal="110" workbookViewId="0">
      <selection activeCell="V64" sqref="V64"/>
    </sheetView>
  </sheetViews>
  <sheetFormatPr defaultRowHeight="12.75" x14ac:dyDescent="0.2"/>
  <cols>
    <col min="2" max="2" width="58.6640625" style="178" customWidth="1"/>
    <col min="3" max="3" width="12.1640625" style="178" customWidth="1"/>
    <col min="4" max="4" width="11.1640625" style="178" bestFit="1" customWidth="1"/>
    <col min="5" max="5" width="10.1640625" style="178" bestFit="1" customWidth="1"/>
    <col min="6" max="8" width="11.1640625" style="178" bestFit="1" customWidth="1"/>
    <col min="9" max="17" width="10" bestFit="1" customWidth="1"/>
    <col min="18" max="20" width="10" hidden="1" customWidth="1"/>
    <col min="21" max="22" width="10" bestFit="1" customWidth="1"/>
  </cols>
  <sheetData>
    <row r="1" spans="2:17" x14ac:dyDescent="0.2">
      <c r="B1" s="104" t="s">
        <v>85</v>
      </c>
      <c r="C1" s="104" t="s">
        <v>86</v>
      </c>
      <c r="D1" s="5">
        <v>2022</v>
      </c>
      <c r="E1" s="5">
        <v>2023</v>
      </c>
      <c r="F1" s="5">
        <v>2024</v>
      </c>
      <c r="G1" s="5">
        <v>2025</v>
      </c>
      <c r="H1" s="5">
        <v>2026</v>
      </c>
      <c r="I1" s="5">
        <v>2027</v>
      </c>
      <c r="J1" s="5">
        <v>2028</v>
      </c>
      <c r="K1" s="5">
        <v>2029</v>
      </c>
      <c r="L1" s="5">
        <v>2030</v>
      </c>
      <c r="M1" s="5">
        <v>2031</v>
      </c>
      <c r="N1" s="5">
        <v>2032</v>
      </c>
      <c r="O1" s="5">
        <v>2033</v>
      </c>
      <c r="P1" s="5">
        <v>2034</v>
      </c>
      <c r="Q1" s="5">
        <v>2035</v>
      </c>
    </row>
    <row r="2" spans="2:17" x14ac:dyDescent="0.2">
      <c r="B2" s="155" t="s">
        <v>87</v>
      </c>
      <c r="C2" s="155" t="s">
        <v>88</v>
      </c>
      <c r="D2" s="205">
        <f>Население!C19</f>
        <v>40325</v>
      </c>
      <c r="E2" s="205">
        <f>Население!D19</f>
        <v>41489</v>
      </c>
      <c r="F2" s="205">
        <f>Население!E19</f>
        <v>42653</v>
      </c>
      <c r="G2" s="205">
        <f>Население!F19</f>
        <v>43818</v>
      </c>
      <c r="H2" s="205">
        <f>Население!G19</f>
        <v>44982</v>
      </c>
      <c r="I2" s="205">
        <f>Население!H19</f>
        <v>46146</v>
      </c>
      <c r="J2" s="205">
        <f>Население!I19</f>
        <v>47310</v>
      </c>
      <c r="K2" s="205">
        <f>Население!J19</f>
        <v>48475</v>
      </c>
      <c r="L2" s="205">
        <f>Население!K19</f>
        <v>49639</v>
      </c>
      <c r="M2" s="205">
        <f>Население!L19</f>
        <v>50803</v>
      </c>
      <c r="N2" s="205">
        <f>Население!M19</f>
        <v>51968</v>
      </c>
      <c r="O2" s="205">
        <f>Население!N19</f>
        <v>53132</v>
      </c>
      <c r="P2" s="205">
        <f>Население!O19</f>
        <v>54296</v>
      </c>
      <c r="Q2" s="205">
        <f>Население!P19</f>
        <v>55461</v>
      </c>
    </row>
    <row r="4" spans="2:17" x14ac:dyDescent="0.2">
      <c r="B4" s="398" t="s">
        <v>89</v>
      </c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400"/>
    </row>
    <row r="5" spans="2:17" x14ac:dyDescent="0.2">
      <c r="B5" s="25" t="s">
        <v>85</v>
      </c>
      <c r="C5" s="25" t="s">
        <v>86</v>
      </c>
      <c r="D5" s="5">
        <v>2022</v>
      </c>
      <c r="E5" s="5">
        <v>2023</v>
      </c>
      <c r="F5" s="5">
        <v>2024</v>
      </c>
      <c r="G5" s="5">
        <v>2025</v>
      </c>
      <c r="H5" s="5">
        <v>2026</v>
      </c>
      <c r="I5" s="5">
        <v>2027</v>
      </c>
      <c r="J5" s="5">
        <v>2028</v>
      </c>
      <c r="K5" s="5">
        <v>2029</v>
      </c>
      <c r="L5" s="5">
        <v>2030</v>
      </c>
      <c r="M5" s="5">
        <v>2031</v>
      </c>
      <c r="N5" s="5">
        <v>2032</v>
      </c>
      <c r="O5" s="5">
        <v>2033</v>
      </c>
      <c r="P5" s="5">
        <v>2034</v>
      </c>
      <c r="Q5" s="5">
        <v>2035</v>
      </c>
    </row>
    <row r="6" spans="2:17" x14ac:dyDescent="0.2">
      <c r="B6" s="155" t="s">
        <v>90</v>
      </c>
      <c r="C6" s="155" t="s">
        <v>91</v>
      </c>
      <c r="D6" s="214"/>
      <c r="E6" s="214">
        <f>1000*(E9-D9)</f>
        <v>-6277.9999999999918</v>
      </c>
      <c r="F6" s="214">
        <f t="shared" ref="F6:Q6" si="0">1000*(F9-E9)</f>
        <v>421.99999999999704</v>
      </c>
      <c r="G6" s="214">
        <f t="shared" si="0"/>
        <v>5701.9999999999982</v>
      </c>
      <c r="H6" s="214">
        <f t="shared" si="0"/>
        <v>12496.999999999985</v>
      </c>
      <c r="I6" s="214">
        <f t="shared" si="0"/>
        <v>11857</v>
      </c>
      <c r="J6" s="214">
        <f t="shared" si="0"/>
        <v>8995.9999999999818</v>
      </c>
      <c r="K6" s="214">
        <f t="shared" si="0"/>
        <v>8597.0000000000364</v>
      </c>
      <c r="L6" s="214">
        <f t="shared" si="0"/>
        <v>7460.9999999999845</v>
      </c>
      <c r="M6" s="214">
        <f t="shared" si="0"/>
        <v>7681.0000000000118</v>
      </c>
      <c r="N6" s="214">
        <f t="shared" si="0"/>
        <v>7865.9999999999854</v>
      </c>
      <c r="O6" s="214">
        <f t="shared" si="0"/>
        <v>8187.9999999999882</v>
      </c>
      <c r="P6" s="214">
        <f t="shared" si="0"/>
        <v>8012.9999999999764</v>
      </c>
      <c r="Q6" s="214">
        <f t="shared" si="0"/>
        <v>7769.0000000000618</v>
      </c>
    </row>
    <row r="7" spans="2:17" x14ac:dyDescent="0.2">
      <c r="B7" s="155" t="s">
        <v>92</v>
      </c>
      <c r="C7" s="155" t="s">
        <v>91</v>
      </c>
      <c r="D7" s="214"/>
      <c r="E7" s="214">
        <f t="shared" ref="E7:Q8" si="1">1000*(E10-D10)</f>
        <v>-3754.9999999999955</v>
      </c>
      <c r="F7" s="214">
        <f t="shared" si="1"/>
        <v>508.99999999998613</v>
      </c>
      <c r="G7" s="214">
        <f t="shared" si="1"/>
        <v>2871.0000000000091</v>
      </c>
      <c r="H7" s="214">
        <f t="shared" si="1"/>
        <v>7052.9999999999973</v>
      </c>
      <c r="I7" s="214">
        <f t="shared" si="1"/>
        <v>6359.9999999999854</v>
      </c>
      <c r="J7" s="214">
        <f t="shared" si="1"/>
        <v>5680.0000000000073</v>
      </c>
      <c r="K7" s="214">
        <f t="shared" si="1"/>
        <v>5508.00000000001</v>
      </c>
      <c r="L7" s="214">
        <f t="shared" si="1"/>
        <v>5175.9999999999873</v>
      </c>
      <c r="M7" s="214">
        <f t="shared" si="1"/>
        <v>4932.0000000000164</v>
      </c>
      <c r="N7" s="214">
        <f t="shared" si="1"/>
        <v>4752.9999999999854</v>
      </c>
      <c r="O7" s="214">
        <f t="shared" si="1"/>
        <v>4411.0000000000018</v>
      </c>
      <c r="P7" s="214">
        <f t="shared" si="1"/>
        <v>4713.9999999999982</v>
      </c>
      <c r="Q7" s="214">
        <f t="shared" si="1"/>
        <v>5080.0000000000127</v>
      </c>
    </row>
    <row r="8" spans="2:17" x14ac:dyDescent="0.2">
      <c r="B8" s="155" t="s">
        <v>95</v>
      </c>
      <c r="C8" s="155" t="s">
        <v>91</v>
      </c>
      <c r="D8" s="214"/>
      <c r="E8" s="214">
        <f t="shared" si="1"/>
        <v>-2522.9999999999964</v>
      </c>
      <c r="F8" s="214">
        <f t="shared" si="1"/>
        <v>-87.000000000003297</v>
      </c>
      <c r="G8" s="214">
        <f t="shared" si="1"/>
        <v>2831.0000000000032</v>
      </c>
      <c r="H8" s="214">
        <f t="shared" si="1"/>
        <v>5443.9999999999882</v>
      </c>
      <c r="I8" s="214">
        <f t="shared" si="1"/>
        <v>5497</v>
      </c>
      <c r="J8" s="214">
        <f t="shared" si="1"/>
        <v>3316.0000000000027</v>
      </c>
      <c r="K8" s="214">
        <f t="shared" si="1"/>
        <v>3088.9999999999986</v>
      </c>
      <c r="L8" s="214">
        <f t="shared" si="1"/>
        <v>2285.0000000000109</v>
      </c>
      <c r="M8" s="214">
        <f t="shared" si="1"/>
        <v>2748.9999999999955</v>
      </c>
      <c r="N8" s="214">
        <f t="shared" si="1"/>
        <v>3112.9999999999995</v>
      </c>
      <c r="O8" s="214">
        <f t="shared" si="1"/>
        <v>3777.0000000000009</v>
      </c>
      <c r="P8" s="214">
        <f t="shared" si="1"/>
        <v>3298.9999999999923</v>
      </c>
      <c r="Q8" s="214">
        <f t="shared" si="1"/>
        <v>2689.0000000000073</v>
      </c>
    </row>
    <row r="9" spans="2:17" x14ac:dyDescent="0.2">
      <c r="B9" s="155" t="s">
        <v>93</v>
      </c>
      <c r="C9" s="155" t="s">
        <v>94</v>
      </c>
      <c r="D9" s="213">
        <f>D10+D11</f>
        <v>206.41300000000001</v>
      </c>
      <c r="E9" s="213">
        <f t="shared" ref="E9:Q9" si="2">E10+E11</f>
        <v>200.13500000000002</v>
      </c>
      <c r="F9" s="213">
        <f t="shared" si="2"/>
        <v>200.55700000000002</v>
      </c>
      <c r="G9" s="213">
        <f t="shared" si="2"/>
        <v>206.25900000000001</v>
      </c>
      <c r="H9" s="213">
        <f t="shared" si="2"/>
        <v>218.756</v>
      </c>
      <c r="I9" s="213">
        <f t="shared" si="2"/>
        <v>230.613</v>
      </c>
      <c r="J9" s="213">
        <f t="shared" si="2"/>
        <v>239.60899999999998</v>
      </c>
      <c r="K9" s="213">
        <f t="shared" si="2"/>
        <v>248.20600000000002</v>
      </c>
      <c r="L9" s="213">
        <f t="shared" si="2"/>
        <v>255.667</v>
      </c>
      <c r="M9" s="213">
        <f t="shared" si="2"/>
        <v>263.34800000000001</v>
      </c>
      <c r="N9" s="213">
        <f t="shared" si="2"/>
        <v>271.214</v>
      </c>
      <c r="O9" s="213">
        <f t="shared" si="2"/>
        <v>279.40199999999999</v>
      </c>
      <c r="P9" s="213">
        <f t="shared" si="2"/>
        <v>287.41499999999996</v>
      </c>
      <c r="Q9" s="213">
        <f t="shared" si="2"/>
        <v>295.18400000000003</v>
      </c>
    </row>
    <row r="10" spans="2:17" x14ac:dyDescent="0.2">
      <c r="B10" s="155" t="s">
        <v>92</v>
      </c>
      <c r="C10" s="155" t="s">
        <v>94</v>
      </c>
      <c r="D10" s="213">
        <v>133.84700000000001</v>
      </c>
      <c r="E10" s="213">
        <v>130.09200000000001</v>
      </c>
      <c r="F10" s="213">
        <v>130.601</v>
      </c>
      <c r="G10" s="213">
        <v>133.47200000000001</v>
      </c>
      <c r="H10" s="213">
        <v>140.52500000000001</v>
      </c>
      <c r="I10" s="213">
        <v>146.88499999999999</v>
      </c>
      <c r="J10" s="213">
        <v>152.565</v>
      </c>
      <c r="K10" s="213">
        <v>158.07300000000001</v>
      </c>
      <c r="L10" s="213">
        <v>163.249</v>
      </c>
      <c r="M10" s="213">
        <v>168.18100000000001</v>
      </c>
      <c r="N10" s="213">
        <v>172.934</v>
      </c>
      <c r="O10" s="213">
        <v>177.345</v>
      </c>
      <c r="P10" s="213">
        <v>182.059</v>
      </c>
      <c r="Q10" s="213">
        <v>187.13900000000001</v>
      </c>
    </row>
    <row r="11" spans="2:17" x14ac:dyDescent="0.2">
      <c r="B11" s="155" t="s">
        <v>95</v>
      </c>
      <c r="C11" s="155" t="s">
        <v>94</v>
      </c>
      <c r="D11" s="213">
        <v>72.566000000000003</v>
      </c>
      <c r="E11" s="213">
        <v>70.043000000000006</v>
      </c>
      <c r="F11" s="213">
        <v>69.956000000000003</v>
      </c>
      <c r="G11" s="213">
        <v>72.787000000000006</v>
      </c>
      <c r="H11" s="213">
        <v>78.230999999999995</v>
      </c>
      <c r="I11" s="213">
        <v>83.727999999999994</v>
      </c>
      <c r="J11" s="213">
        <v>87.043999999999997</v>
      </c>
      <c r="K11" s="213">
        <v>90.132999999999996</v>
      </c>
      <c r="L11" s="213">
        <v>92.418000000000006</v>
      </c>
      <c r="M11" s="213">
        <v>95.167000000000002</v>
      </c>
      <c r="N11" s="213">
        <v>98.28</v>
      </c>
      <c r="O11" s="213">
        <v>102.057</v>
      </c>
      <c r="P11" s="213">
        <v>105.35599999999999</v>
      </c>
      <c r="Q11" s="213">
        <v>108.045</v>
      </c>
    </row>
    <row r="13" spans="2:17" x14ac:dyDescent="0.2">
      <c r="B13" s="401" t="s">
        <v>96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2"/>
      <c r="P13" s="402"/>
      <c r="Q13" s="403"/>
    </row>
    <row r="14" spans="2:17" x14ac:dyDescent="0.2">
      <c r="B14" s="25" t="s">
        <v>85</v>
      </c>
      <c r="C14" s="25" t="s">
        <v>86</v>
      </c>
      <c r="D14" s="5">
        <v>2022</v>
      </c>
      <c r="E14" s="5">
        <v>2023</v>
      </c>
      <c r="F14" s="5">
        <v>2024</v>
      </c>
      <c r="G14" s="5">
        <v>2025</v>
      </c>
      <c r="H14" s="5">
        <v>2026</v>
      </c>
      <c r="I14" s="5">
        <v>2027</v>
      </c>
      <c r="J14" s="5">
        <v>2028</v>
      </c>
      <c r="K14" s="5">
        <v>2029</v>
      </c>
      <c r="L14" s="5">
        <v>2030</v>
      </c>
      <c r="M14" s="5">
        <v>2031</v>
      </c>
      <c r="N14" s="5">
        <v>2032</v>
      </c>
      <c r="O14" s="5">
        <v>2033</v>
      </c>
      <c r="P14" s="5">
        <v>2034</v>
      </c>
      <c r="Q14" s="5">
        <v>2035</v>
      </c>
    </row>
    <row r="15" spans="2:17" ht="15.75" x14ac:dyDescent="0.2">
      <c r="B15" s="108" t="s">
        <v>97</v>
      </c>
      <c r="C15" s="108" t="s">
        <v>98</v>
      </c>
      <c r="D15" s="206">
        <v>1053.01</v>
      </c>
      <c r="E15" s="206">
        <v>1053.01</v>
      </c>
      <c r="F15" s="206">
        <v>1120.1600000000001</v>
      </c>
      <c r="G15" s="206">
        <v>1224.28</v>
      </c>
      <c r="H15" s="206">
        <v>1308.48</v>
      </c>
      <c r="I15" s="206">
        <v>1399.15</v>
      </c>
      <c r="J15" s="206">
        <v>1476.05</v>
      </c>
      <c r="K15" s="206">
        <v>1550.44</v>
      </c>
      <c r="L15" s="206">
        <v>1610.71</v>
      </c>
      <c r="M15" s="206">
        <v>1702.79</v>
      </c>
      <c r="N15" s="206">
        <v>1784.86</v>
      </c>
      <c r="O15" s="206">
        <v>1862.77</v>
      </c>
      <c r="P15" s="206">
        <v>1938.83</v>
      </c>
      <c r="Q15" s="206">
        <v>2013.98</v>
      </c>
    </row>
    <row r="16" spans="2:17" ht="15.75" x14ac:dyDescent="0.2">
      <c r="B16" s="108" t="s">
        <v>92</v>
      </c>
      <c r="C16" s="108" t="s">
        <v>98</v>
      </c>
      <c r="D16" s="206">
        <v>845.26</v>
      </c>
      <c r="E16" s="206">
        <v>845.26</v>
      </c>
      <c r="F16" s="206">
        <v>912.41</v>
      </c>
      <c r="G16" s="206">
        <v>982.4</v>
      </c>
      <c r="H16" s="206">
        <v>1051.1400000000001</v>
      </c>
      <c r="I16" s="206">
        <v>1118.3900000000001</v>
      </c>
      <c r="J16" s="206">
        <v>1185.3800000000001</v>
      </c>
      <c r="K16" s="206">
        <v>1249.8499999999999</v>
      </c>
      <c r="L16" s="206">
        <v>1303.5899999999999</v>
      </c>
      <c r="M16" s="206">
        <v>1374.6</v>
      </c>
      <c r="N16" s="206">
        <v>1445.6</v>
      </c>
      <c r="O16" s="206">
        <v>1516.6</v>
      </c>
      <c r="P16" s="206">
        <v>1587.6</v>
      </c>
      <c r="Q16" s="206">
        <v>1658.6</v>
      </c>
    </row>
    <row r="17" spans="2:17" ht="15.75" x14ac:dyDescent="0.2">
      <c r="B17" s="108" t="s">
        <v>99</v>
      </c>
      <c r="C17" s="108" t="s">
        <v>98</v>
      </c>
      <c r="D17" s="206">
        <v>66.27</v>
      </c>
      <c r="E17" s="206">
        <v>66.27</v>
      </c>
      <c r="F17" s="206">
        <v>66.27</v>
      </c>
      <c r="G17" s="206">
        <v>82.16</v>
      </c>
      <c r="H17" s="206">
        <v>95.25</v>
      </c>
      <c r="I17" s="206">
        <v>116.3</v>
      </c>
      <c r="J17" s="206">
        <v>124.58</v>
      </c>
      <c r="K17" s="206">
        <v>130.38</v>
      </c>
      <c r="L17" s="206">
        <v>134.13</v>
      </c>
      <c r="M17" s="206">
        <v>146.63</v>
      </c>
      <c r="N17" s="206">
        <v>157.69999999999999</v>
      </c>
      <c r="O17" s="206">
        <v>164.49</v>
      </c>
      <c r="P17" s="206">
        <v>169.44</v>
      </c>
      <c r="Q17" s="206">
        <v>173.58</v>
      </c>
    </row>
    <row r="18" spans="2:17" ht="15.75" x14ac:dyDescent="0.2">
      <c r="B18" s="108" t="s">
        <v>95</v>
      </c>
      <c r="C18" s="108" t="s">
        <v>98</v>
      </c>
      <c r="D18" s="206">
        <v>141.47</v>
      </c>
      <c r="E18" s="206">
        <v>141.47</v>
      </c>
      <c r="F18" s="206">
        <v>141.47</v>
      </c>
      <c r="G18" s="206">
        <v>159.72</v>
      </c>
      <c r="H18" s="206">
        <v>162.09</v>
      </c>
      <c r="I18" s="206">
        <v>164.46</v>
      </c>
      <c r="J18" s="206">
        <v>166.09</v>
      </c>
      <c r="K18" s="206">
        <v>170.21</v>
      </c>
      <c r="L18" s="206">
        <v>172.99</v>
      </c>
      <c r="M18" s="206">
        <v>181.56</v>
      </c>
      <c r="N18" s="206">
        <v>181.56</v>
      </c>
      <c r="O18" s="206">
        <v>181.68</v>
      </c>
      <c r="P18" s="206">
        <v>181.79</v>
      </c>
      <c r="Q18" s="206">
        <v>181.79</v>
      </c>
    </row>
    <row r="19" spans="2:17" ht="15.75" x14ac:dyDescent="0.2">
      <c r="B19" s="108" t="s">
        <v>100</v>
      </c>
      <c r="C19" s="108" t="s">
        <v>98</v>
      </c>
      <c r="D19" s="206"/>
      <c r="E19" s="206">
        <f>E20+E21+E22</f>
        <v>0</v>
      </c>
      <c r="F19" s="206">
        <f>F20+F21+F22</f>
        <v>67.149999999999977</v>
      </c>
      <c r="G19" s="206">
        <f>G20+G21+G22</f>
        <v>104.13000000000001</v>
      </c>
      <c r="H19" s="206">
        <f>H20+H21+H22</f>
        <v>84.200000000000131</v>
      </c>
      <c r="I19" s="206">
        <f t="shared" ref="I19:Q19" si="3">I20+I21+I22</f>
        <v>90.67</v>
      </c>
      <c r="J19" s="206">
        <f t="shared" si="3"/>
        <v>76.900000000000006</v>
      </c>
      <c r="K19" s="206">
        <f t="shared" si="3"/>
        <v>74.389999999999802</v>
      </c>
      <c r="L19" s="206">
        <f t="shared" si="3"/>
        <v>60.27000000000001</v>
      </c>
      <c r="M19" s="206">
        <f t="shared" si="3"/>
        <v>92.079999999999984</v>
      </c>
      <c r="N19" s="206">
        <f t="shared" si="3"/>
        <v>82.07</v>
      </c>
      <c r="O19" s="206">
        <f t="shared" si="3"/>
        <v>77.910000000000025</v>
      </c>
      <c r="P19" s="206">
        <f t="shared" si="3"/>
        <v>76.059999999999974</v>
      </c>
      <c r="Q19" s="206">
        <f t="shared" si="3"/>
        <v>75.140000000000015</v>
      </c>
    </row>
    <row r="20" spans="2:17" ht="15.75" x14ac:dyDescent="0.2">
      <c r="B20" s="108" t="s">
        <v>92</v>
      </c>
      <c r="C20" s="108" t="s">
        <v>98</v>
      </c>
      <c r="D20" s="206"/>
      <c r="E20" s="206">
        <f>E16-D16</f>
        <v>0</v>
      </c>
      <c r="F20" s="206">
        <f t="shared" ref="F20:Q20" si="4">F16-E16</f>
        <v>67.149999999999977</v>
      </c>
      <c r="G20" s="206">
        <f t="shared" si="4"/>
        <v>69.990000000000009</v>
      </c>
      <c r="H20" s="206">
        <f t="shared" si="4"/>
        <v>68.740000000000123</v>
      </c>
      <c r="I20" s="206">
        <f t="shared" si="4"/>
        <v>67.25</v>
      </c>
      <c r="J20" s="206">
        <f t="shared" si="4"/>
        <v>66.990000000000009</v>
      </c>
      <c r="K20" s="206">
        <f t="shared" si="4"/>
        <v>64.4699999999998</v>
      </c>
      <c r="L20" s="206">
        <f t="shared" si="4"/>
        <v>53.740000000000009</v>
      </c>
      <c r="M20" s="206">
        <f t="shared" si="4"/>
        <v>71.009999999999991</v>
      </c>
      <c r="N20" s="206">
        <f t="shared" si="4"/>
        <v>71</v>
      </c>
      <c r="O20" s="206">
        <f t="shared" si="4"/>
        <v>71</v>
      </c>
      <c r="P20" s="206">
        <f t="shared" si="4"/>
        <v>71</v>
      </c>
      <c r="Q20" s="206">
        <f t="shared" si="4"/>
        <v>71</v>
      </c>
    </row>
    <row r="21" spans="2:17" ht="15.75" x14ac:dyDescent="0.2">
      <c r="B21" s="108" t="s">
        <v>99</v>
      </c>
      <c r="C21" s="108" t="s">
        <v>98</v>
      </c>
      <c r="D21" s="206"/>
      <c r="E21" s="206">
        <f>E17-D17</f>
        <v>0</v>
      </c>
      <c r="F21" s="206">
        <f t="shared" ref="F21:Q21" si="5">F17-E17</f>
        <v>0</v>
      </c>
      <c r="G21" s="206">
        <f t="shared" si="5"/>
        <v>15.89</v>
      </c>
      <c r="H21" s="206">
        <f t="shared" si="5"/>
        <v>13.090000000000003</v>
      </c>
      <c r="I21" s="206">
        <f t="shared" si="5"/>
        <v>21.049999999999997</v>
      </c>
      <c r="J21" s="206">
        <f t="shared" si="5"/>
        <v>8.2800000000000011</v>
      </c>
      <c r="K21" s="206">
        <f t="shared" si="5"/>
        <v>5.7999999999999972</v>
      </c>
      <c r="L21" s="206">
        <f t="shared" si="5"/>
        <v>3.75</v>
      </c>
      <c r="M21" s="206">
        <f t="shared" si="5"/>
        <v>12.5</v>
      </c>
      <c r="N21" s="206">
        <f t="shared" si="5"/>
        <v>11.069999999999993</v>
      </c>
      <c r="O21" s="206">
        <f t="shared" si="5"/>
        <v>6.7900000000000205</v>
      </c>
      <c r="P21" s="206">
        <f t="shared" si="5"/>
        <v>4.9499999999999886</v>
      </c>
      <c r="Q21" s="206">
        <f t="shared" si="5"/>
        <v>4.1400000000000148</v>
      </c>
    </row>
    <row r="22" spans="2:17" ht="15.75" x14ac:dyDescent="0.2">
      <c r="B22" s="108" t="s">
        <v>95</v>
      </c>
      <c r="C22" s="108" t="s">
        <v>98</v>
      </c>
      <c r="D22" s="206"/>
      <c r="E22" s="206">
        <f>E18-D18</f>
        <v>0</v>
      </c>
      <c r="F22" s="206">
        <f t="shared" ref="F22:Q22" si="6">F18-E18</f>
        <v>0</v>
      </c>
      <c r="G22" s="206">
        <f t="shared" si="6"/>
        <v>18.25</v>
      </c>
      <c r="H22" s="206">
        <f t="shared" si="6"/>
        <v>2.3700000000000045</v>
      </c>
      <c r="I22" s="206">
        <f t="shared" si="6"/>
        <v>2.3700000000000045</v>
      </c>
      <c r="J22" s="206">
        <f t="shared" si="6"/>
        <v>1.6299999999999955</v>
      </c>
      <c r="K22" s="206">
        <f t="shared" si="6"/>
        <v>4.1200000000000045</v>
      </c>
      <c r="L22" s="206">
        <f t="shared" si="6"/>
        <v>2.7800000000000011</v>
      </c>
      <c r="M22" s="206">
        <f t="shared" si="6"/>
        <v>8.5699999999999932</v>
      </c>
      <c r="N22" s="206">
        <f t="shared" si="6"/>
        <v>0</v>
      </c>
      <c r="O22" s="206">
        <f t="shared" si="6"/>
        <v>0.12000000000000455</v>
      </c>
      <c r="P22" s="206">
        <f t="shared" si="6"/>
        <v>0.10999999999998522</v>
      </c>
      <c r="Q22" s="206">
        <f t="shared" si="6"/>
        <v>0</v>
      </c>
    </row>
    <row r="23" spans="2:17" x14ac:dyDescent="0.2">
      <c r="B23"/>
      <c r="C23"/>
      <c r="D23"/>
      <c r="E23"/>
      <c r="F23"/>
      <c r="G23"/>
      <c r="H23"/>
    </row>
    <row r="24" spans="2:17" x14ac:dyDescent="0.2">
      <c r="B24" s="401" t="s">
        <v>1035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  <c r="O24" s="402"/>
      <c r="P24" s="402"/>
      <c r="Q24" s="403"/>
    </row>
    <row r="25" spans="2:17" x14ac:dyDescent="0.2">
      <c r="B25" s="25" t="s">
        <v>85</v>
      </c>
      <c r="C25" s="25" t="s">
        <v>86</v>
      </c>
      <c r="D25" s="5">
        <v>2022</v>
      </c>
      <c r="E25" s="5">
        <v>2023</v>
      </c>
      <c r="F25" s="5">
        <v>2024</v>
      </c>
      <c r="G25" s="5">
        <v>2025</v>
      </c>
      <c r="H25" s="5">
        <v>2026</v>
      </c>
      <c r="I25" s="5">
        <v>2027</v>
      </c>
      <c r="J25" s="5">
        <v>2028</v>
      </c>
      <c r="K25" s="5">
        <v>2029</v>
      </c>
      <c r="L25" s="5">
        <v>2030</v>
      </c>
      <c r="M25" s="5">
        <v>2031</v>
      </c>
      <c r="N25" s="5">
        <v>2032</v>
      </c>
      <c r="O25" s="5">
        <v>2033</v>
      </c>
      <c r="P25" s="5">
        <v>2034</v>
      </c>
      <c r="Q25" s="5">
        <v>2035</v>
      </c>
    </row>
    <row r="26" spans="2:17" ht="15.75" x14ac:dyDescent="0.2">
      <c r="B26" s="108" t="s">
        <v>1036</v>
      </c>
      <c r="C26" s="108" t="s">
        <v>98</v>
      </c>
      <c r="D26" s="206">
        <f>SUM(D27:D29)</f>
        <v>454.35578229999999</v>
      </c>
      <c r="E26" s="206">
        <f t="shared" ref="E26:Q26" si="7">SUM(E27:E29)</f>
        <v>454.35578229999999</v>
      </c>
      <c r="F26" s="206">
        <f t="shared" si="7"/>
        <v>481.49742404157604</v>
      </c>
      <c r="G26" s="206">
        <f t="shared" si="7"/>
        <v>519.80196286632952</v>
      </c>
      <c r="H26" s="206">
        <f t="shared" si="7"/>
        <v>556.42413424675647</v>
      </c>
      <c r="I26" s="206">
        <f t="shared" si="7"/>
        <v>598.7522396950518</v>
      </c>
      <c r="J26" s="206">
        <f t="shared" si="7"/>
        <v>634.12193600962507</v>
      </c>
      <c r="K26" s="206">
        <f t="shared" si="7"/>
        <v>663.75619202790983</v>
      </c>
      <c r="L26" s="206">
        <f t="shared" si="7"/>
        <v>681.98133458055293</v>
      </c>
      <c r="M26" s="206">
        <f t="shared" si="7"/>
        <v>722.8158489201528</v>
      </c>
      <c r="N26" s="206">
        <f t="shared" si="7"/>
        <v>759.51783325975248</v>
      </c>
      <c r="O26" s="206">
        <f t="shared" si="7"/>
        <v>794.44927559935218</v>
      </c>
      <c r="P26" s="206">
        <f t="shared" si="7"/>
        <v>828.38594693895197</v>
      </c>
      <c r="Q26" s="206">
        <f t="shared" si="7"/>
        <v>861.53575127855163</v>
      </c>
    </row>
    <row r="27" spans="2:17" ht="15.75" x14ac:dyDescent="0.2">
      <c r="B27" s="108" t="s">
        <v>92</v>
      </c>
      <c r="C27" s="108" t="s">
        <v>98</v>
      </c>
      <c r="D27" s="206">
        <v>410.4754873</v>
      </c>
      <c r="E27" s="206">
        <v>410.4754873</v>
      </c>
      <c r="F27" s="206">
        <v>437.61712904157605</v>
      </c>
      <c r="G27" s="206">
        <v>467.3526353483694</v>
      </c>
      <c r="H27" s="206">
        <v>495.95468969864112</v>
      </c>
      <c r="I27" s="206">
        <v>523.18158909239105</v>
      </c>
      <c r="J27" s="206">
        <v>550.17370874266271</v>
      </c>
      <c r="K27" s="206">
        <v>574.8603874624996</v>
      </c>
      <c r="L27" s="206">
        <v>589.70980296059736</v>
      </c>
      <c r="M27" s="206">
        <v>620.37900624565168</v>
      </c>
      <c r="N27" s="206">
        <v>651.04820953070589</v>
      </c>
      <c r="O27" s="206">
        <v>681.7174128157601</v>
      </c>
      <c r="P27" s="206">
        <v>712.38661610081442</v>
      </c>
      <c r="Q27" s="206">
        <v>743.05581938586863</v>
      </c>
    </row>
    <row r="28" spans="2:17" ht="15.75" x14ac:dyDescent="0.2">
      <c r="B28" s="108" t="s">
        <v>99</v>
      </c>
      <c r="C28" s="108" t="s">
        <v>98</v>
      </c>
      <c r="D28" s="206">
        <v>28.850713999999996</v>
      </c>
      <c r="E28" s="206">
        <v>28.850713999999996</v>
      </c>
      <c r="F28" s="206">
        <v>28.850713999999996</v>
      </c>
      <c r="G28" s="206">
        <v>37.419746517960085</v>
      </c>
      <c r="H28" s="206">
        <v>44.609488548115294</v>
      </c>
      <c r="I28" s="206">
        <v>57.654649602660747</v>
      </c>
      <c r="J28" s="206">
        <v>62.303386266962292</v>
      </c>
      <c r="K28" s="206">
        <v>65.710517565410186</v>
      </c>
      <c r="L28" s="206">
        <v>68.020298619955639</v>
      </c>
      <c r="M28" s="206">
        <v>74.710079674501088</v>
      </c>
      <c r="N28" s="206">
        <v>80.742860729046555</v>
      </c>
      <c r="O28" s="206">
        <v>84.560091783592014</v>
      </c>
      <c r="P28" s="206">
        <v>87.391822838137472</v>
      </c>
      <c r="Q28" s="206">
        <v>89.872423892682932</v>
      </c>
    </row>
    <row r="29" spans="2:17" ht="15.75" x14ac:dyDescent="0.2">
      <c r="B29" s="108" t="s">
        <v>95</v>
      </c>
      <c r="C29" s="108" t="s">
        <v>98</v>
      </c>
      <c r="D29" s="206">
        <v>15.029581000000002</v>
      </c>
      <c r="E29" s="206">
        <v>15.029581000000002</v>
      </c>
      <c r="F29" s="206">
        <v>15.029581000000002</v>
      </c>
      <c r="G29" s="206">
        <v>15.029581000000002</v>
      </c>
      <c r="H29" s="206">
        <v>15.859956000000002</v>
      </c>
      <c r="I29" s="206">
        <v>17.916001000000001</v>
      </c>
      <c r="J29" s="206">
        <v>21.644841</v>
      </c>
      <c r="K29" s="206">
        <v>23.185287000000002</v>
      </c>
      <c r="L29" s="206">
        <v>24.251232999999999</v>
      </c>
      <c r="M29" s="206">
        <v>27.726762999999998</v>
      </c>
      <c r="N29" s="206">
        <v>27.726762999999998</v>
      </c>
      <c r="O29" s="206">
        <v>28.171771</v>
      </c>
      <c r="P29" s="206">
        <v>28.607507999999999</v>
      </c>
      <c r="Q29" s="206">
        <v>28.607507999999999</v>
      </c>
    </row>
    <row r="30" spans="2:17" ht="15.75" x14ac:dyDescent="0.2">
      <c r="B30" s="108" t="s">
        <v>1037</v>
      </c>
      <c r="C30" s="108" t="s">
        <v>98</v>
      </c>
      <c r="D30" s="206"/>
      <c r="E30" s="206">
        <f t="shared" ref="E30:Q30" si="8">E31+E32+E33</f>
        <v>0</v>
      </c>
      <c r="F30" s="206">
        <f t="shared" si="8"/>
        <v>27.141641741576052</v>
      </c>
      <c r="G30" s="206">
        <f t="shared" si="8"/>
        <v>38.304538824753443</v>
      </c>
      <c r="H30" s="206">
        <f t="shared" si="8"/>
        <v>36.62217138042692</v>
      </c>
      <c r="I30" s="206">
        <f t="shared" si="8"/>
        <v>42.328105448295382</v>
      </c>
      <c r="J30" s="206">
        <f t="shared" si="8"/>
        <v>35.369696314573204</v>
      </c>
      <c r="K30" s="206">
        <f t="shared" si="8"/>
        <v>29.634256018284788</v>
      </c>
      <c r="L30" s="206">
        <f t="shared" si="8"/>
        <v>18.225142552643206</v>
      </c>
      <c r="M30" s="206">
        <f t="shared" si="8"/>
        <v>40.834514339599771</v>
      </c>
      <c r="N30" s="206">
        <f t="shared" si="8"/>
        <v>36.701984339599676</v>
      </c>
      <c r="O30" s="206">
        <f t="shared" si="8"/>
        <v>34.93144233959967</v>
      </c>
      <c r="P30" s="206">
        <f t="shared" si="8"/>
        <v>33.936671339599783</v>
      </c>
      <c r="Q30" s="206">
        <f t="shared" si="8"/>
        <v>33.149804339599669</v>
      </c>
    </row>
    <row r="31" spans="2:17" ht="15.75" x14ac:dyDescent="0.2">
      <c r="B31" s="108" t="s">
        <v>92</v>
      </c>
      <c r="C31" s="108" t="s">
        <v>98</v>
      </c>
      <c r="D31" s="206"/>
      <c r="E31" s="206">
        <f>E27-D27</f>
        <v>0</v>
      </c>
      <c r="F31" s="206">
        <f t="shared" ref="F31:F32" si="9">F27-E27</f>
        <v>27.141641741576052</v>
      </c>
      <c r="G31" s="206">
        <f t="shared" ref="G31:G32" si="10">G27-F27</f>
        <v>29.735506306793354</v>
      </c>
      <c r="H31" s="206">
        <f t="shared" ref="H31:H32" si="11">H27-G27</f>
        <v>28.602054350271715</v>
      </c>
      <c r="I31" s="206">
        <f t="shared" ref="I31:I32" si="12">I27-H27</f>
        <v>27.226899393749932</v>
      </c>
      <c r="J31" s="206">
        <f t="shared" ref="J31:J32" si="13">J27-I27</f>
        <v>26.992119650271661</v>
      </c>
      <c r="K31" s="206">
        <f t="shared" ref="K31:K32" si="14">K27-J27</f>
        <v>24.686678719836891</v>
      </c>
      <c r="L31" s="206">
        <f t="shared" ref="L31:L32" si="15">L27-K27</f>
        <v>14.849415498097756</v>
      </c>
      <c r="M31" s="206">
        <f t="shared" ref="M31:M32" si="16">M27-L27</f>
        <v>30.669203285054323</v>
      </c>
      <c r="N31" s="206">
        <f t="shared" ref="N31:N32" si="17">N27-M27</f>
        <v>30.669203285054209</v>
      </c>
      <c r="O31" s="206">
        <f t="shared" ref="O31:O32" si="18">O27-N27</f>
        <v>30.669203285054209</v>
      </c>
      <c r="P31" s="206">
        <f t="shared" ref="P31:P32" si="19">P27-O27</f>
        <v>30.669203285054323</v>
      </c>
      <c r="Q31" s="206">
        <f t="shared" ref="Q31:Q32" si="20">Q27-P27</f>
        <v>30.669203285054209</v>
      </c>
    </row>
    <row r="32" spans="2:17" ht="15.75" x14ac:dyDescent="0.2">
      <c r="B32" s="108" t="s">
        <v>99</v>
      </c>
      <c r="C32" s="108" t="s">
        <v>98</v>
      </c>
      <c r="D32" s="206"/>
      <c r="E32" s="206">
        <f>E28-D28</f>
        <v>0</v>
      </c>
      <c r="F32" s="206">
        <f t="shared" si="9"/>
        <v>0</v>
      </c>
      <c r="G32" s="206">
        <f t="shared" si="10"/>
        <v>8.569032517960089</v>
      </c>
      <c r="H32" s="206">
        <f t="shared" si="11"/>
        <v>7.1897420301552089</v>
      </c>
      <c r="I32" s="206">
        <f t="shared" si="12"/>
        <v>13.045161054545453</v>
      </c>
      <c r="J32" s="206">
        <f t="shared" si="13"/>
        <v>4.6487366643015449</v>
      </c>
      <c r="K32" s="206">
        <f t="shared" si="14"/>
        <v>3.4071312984478936</v>
      </c>
      <c r="L32" s="206">
        <f t="shared" si="15"/>
        <v>2.3097810545454536</v>
      </c>
      <c r="M32" s="206">
        <f t="shared" si="16"/>
        <v>6.689781054545449</v>
      </c>
      <c r="N32" s="206">
        <f t="shared" si="17"/>
        <v>6.0327810545454668</v>
      </c>
      <c r="O32" s="206">
        <f t="shared" si="18"/>
        <v>3.8172310545454593</v>
      </c>
      <c r="P32" s="206">
        <f t="shared" si="19"/>
        <v>2.8317310545454575</v>
      </c>
      <c r="Q32" s="206">
        <f t="shared" si="20"/>
        <v>2.4806010545454598</v>
      </c>
    </row>
    <row r="33" spans="2:19" ht="15.75" x14ac:dyDescent="0.2">
      <c r="B33" s="108" t="s">
        <v>95</v>
      </c>
      <c r="C33" s="108" t="s">
        <v>98</v>
      </c>
      <c r="D33" s="206"/>
      <c r="E33" s="206">
        <f>E29-D29</f>
        <v>0</v>
      </c>
      <c r="F33" s="206">
        <f t="shared" ref="F33:Q33" si="21">F29-E29</f>
        <v>0</v>
      </c>
      <c r="G33" s="206">
        <f t="shared" si="21"/>
        <v>0</v>
      </c>
      <c r="H33" s="206">
        <f t="shared" si="21"/>
        <v>0.83037500000000009</v>
      </c>
      <c r="I33" s="206">
        <f t="shared" si="21"/>
        <v>2.0560449999999992</v>
      </c>
      <c r="J33" s="206">
        <f t="shared" si="21"/>
        <v>3.7288399999999982</v>
      </c>
      <c r="K33" s="206">
        <f t="shared" si="21"/>
        <v>1.5404460000000029</v>
      </c>
      <c r="L33" s="206">
        <f t="shared" si="21"/>
        <v>1.0659459999999967</v>
      </c>
      <c r="M33" s="206">
        <f t="shared" si="21"/>
        <v>3.4755299999999991</v>
      </c>
      <c r="N33" s="206">
        <f t="shared" si="21"/>
        <v>0</v>
      </c>
      <c r="O33" s="206">
        <f t="shared" si="21"/>
        <v>0.4450080000000014</v>
      </c>
      <c r="P33" s="206">
        <f t="shared" si="21"/>
        <v>0.4357369999999996</v>
      </c>
      <c r="Q33" s="206">
        <f t="shared" si="21"/>
        <v>0</v>
      </c>
    </row>
    <row r="34" spans="2:19" x14ac:dyDescent="0.2">
      <c r="B34"/>
      <c r="C34"/>
      <c r="D34"/>
      <c r="E34"/>
      <c r="F34"/>
      <c r="G34"/>
      <c r="H34"/>
    </row>
    <row r="35" spans="2:19" x14ac:dyDescent="0.2">
      <c r="B35" s="401" t="s">
        <v>101</v>
      </c>
      <c r="C35" s="402"/>
      <c r="D35" s="402"/>
      <c r="E35" s="402"/>
      <c r="F35" s="402"/>
      <c r="G35" s="402"/>
      <c r="H35" s="402"/>
      <c r="I35" s="402"/>
      <c r="J35" s="402"/>
      <c r="K35" s="402"/>
      <c r="L35" s="402"/>
      <c r="M35" s="402"/>
      <c r="N35" s="402"/>
      <c r="O35" s="402"/>
      <c r="P35" s="402"/>
      <c r="Q35" s="403"/>
    </row>
    <row r="36" spans="2:19" x14ac:dyDescent="0.2">
      <c r="B36" s="25" t="s">
        <v>85</v>
      </c>
      <c r="C36" s="25" t="s">
        <v>86</v>
      </c>
      <c r="D36" s="5">
        <v>2022</v>
      </c>
      <c r="E36" s="5">
        <v>2023</v>
      </c>
      <c r="F36" s="5">
        <v>2024</v>
      </c>
      <c r="G36" s="5">
        <v>2025</v>
      </c>
      <c r="H36" s="5">
        <v>2026</v>
      </c>
      <c r="I36" s="5">
        <v>2027</v>
      </c>
      <c r="J36" s="5">
        <v>2028</v>
      </c>
      <c r="K36" s="5">
        <v>2029</v>
      </c>
      <c r="L36" s="5">
        <v>2030</v>
      </c>
      <c r="M36" s="5">
        <v>2031</v>
      </c>
      <c r="N36" s="5">
        <v>2032</v>
      </c>
      <c r="O36" s="5">
        <v>2033</v>
      </c>
      <c r="P36" s="5">
        <v>2034</v>
      </c>
      <c r="Q36" s="5">
        <v>2035</v>
      </c>
    </row>
    <row r="37" spans="2:19" ht="15.75" x14ac:dyDescent="0.2">
      <c r="B37" s="108" t="s">
        <v>102</v>
      </c>
      <c r="C37" s="108" t="s">
        <v>98</v>
      </c>
      <c r="D37" s="206">
        <v>1663.83</v>
      </c>
      <c r="E37" s="206">
        <v>1667.13</v>
      </c>
      <c r="F37" s="206">
        <v>1672.94</v>
      </c>
      <c r="G37" s="206">
        <v>1897.88</v>
      </c>
      <c r="H37" s="206">
        <v>2016.02</v>
      </c>
      <c r="I37" s="206">
        <v>2146.35</v>
      </c>
      <c r="J37" s="206">
        <v>2254.83</v>
      </c>
      <c r="K37" s="206">
        <v>2357.56</v>
      </c>
      <c r="L37" s="206">
        <v>2432.27</v>
      </c>
      <c r="M37" s="206">
        <v>2562.5100000000002</v>
      </c>
      <c r="N37" s="206">
        <v>2678.59</v>
      </c>
      <c r="O37" s="206">
        <v>2788.76</v>
      </c>
      <c r="P37" s="206">
        <v>2896.08</v>
      </c>
      <c r="Q37" s="206">
        <v>3001.7</v>
      </c>
    </row>
    <row r="38" spans="2:19" ht="15.75" x14ac:dyDescent="0.2">
      <c r="B38" s="108" t="s">
        <v>92</v>
      </c>
      <c r="C38" s="108" t="s">
        <v>98</v>
      </c>
      <c r="D38" s="206">
        <v>1301.3399999999999</v>
      </c>
      <c r="E38" s="206">
        <v>1304.6300000000001</v>
      </c>
      <c r="F38" s="206">
        <v>1310.44</v>
      </c>
      <c r="G38" s="206">
        <v>1492.08</v>
      </c>
      <c r="H38" s="206">
        <v>1586.14</v>
      </c>
      <c r="I38" s="206">
        <v>1677.33</v>
      </c>
      <c r="J38" s="206">
        <v>1768.03</v>
      </c>
      <c r="K38" s="206">
        <v>1853.91</v>
      </c>
      <c r="L38" s="206">
        <v>1919.22</v>
      </c>
      <c r="M38" s="206">
        <v>2017.6</v>
      </c>
      <c r="N38" s="206">
        <v>2115.9899999999998</v>
      </c>
      <c r="O38" s="206">
        <v>2214.38</v>
      </c>
      <c r="P38" s="206">
        <v>2312.77</v>
      </c>
      <c r="Q38" s="206">
        <v>2411.15</v>
      </c>
    </row>
    <row r="39" spans="2:19" ht="15.75" x14ac:dyDescent="0.2">
      <c r="B39" s="108" t="s">
        <v>99</v>
      </c>
      <c r="C39" s="108" t="s">
        <v>98</v>
      </c>
      <c r="D39" s="206">
        <v>100.16</v>
      </c>
      <c r="E39" s="206">
        <v>100.16</v>
      </c>
      <c r="F39" s="206">
        <v>100.16</v>
      </c>
      <c r="G39" s="206">
        <v>125.22</v>
      </c>
      <c r="H39" s="206">
        <v>146.11000000000001</v>
      </c>
      <c r="I39" s="206">
        <v>180.81</v>
      </c>
      <c r="J39" s="206">
        <v>194.35</v>
      </c>
      <c r="K39" s="206">
        <v>204.15</v>
      </c>
      <c r="L39" s="206">
        <v>210.82</v>
      </c>
      <c r="M39" s="206">
        <v>230.62</v>
      </c>
      <c r="N39" s="206">
        <v>248.32</v>
      </c>
      <c r="O39" s="206">
        <v>259.54000000000002</v>
      </c>
      <c r="P39" s="206">
        <v>267.93</v>
      </c>
      <c r="Q39" s="206">
        <v>275.16000000000003</v>
      </c>
    </row>
    <row r="40" spans="2:19" ht="15.75" x14ac:dyDescent="0.2">
      <c r="B40" s="108" t="s">
        <v>95</v>
      </c>
      <c r="C40" s="108" t="s">
        <v>98</v>
      </c>
      <c r="D40" s="206">
        <v>262.33</v>
      </c>
      <c r="E40" s="206">
        <v>262.33</v>
      </c>
      <c r="F40" s="206">
        <v>262.33</v>
      </c>
      <c r="G40" s="206">
        <v>280.58</v>
      </c>
      <c r="H40" s="206">
        <v>283.77999999999997</v>
      </c>
      <c r="I40" s="206">
        <v>288.20999999999998</v>
      </c>
      <c r="J40" s="206">
        <v>292.45999999999998</v>
      </c>
      <c r="K40" s="206">
        <v>299.49</v>
      </c>
      <c r="L40" s="206">
        <v>302.23</v>
      </c>
      <c r="M40" s="206">
        <v>314.27999999999997</v>
      </c>
      <c r="N40" s="206">
        <v>314.27999999999997</v>
      </c>
      <c r="O40" s="206">
        <v>314.83999999999997</v>
      </c>
      <c r="P40" s="206">
        <v>315.39</v>
      </c>
      <c r="Q40" s="206">
        <v>315.39</v>
      </c>
    </row>
    <row r="41" spans="2:19" ht="15.75" x14ac:dyDescent="0.2">
      <c r="B41" s="108" t="s">
        <v>103</v>
      </c>
      <c r="C41" s="108" t="s">
        <v>98</v>
      </c>
      <c r="D41" s="206"/>
      <c r="E41" s="206">
        <f>SUM(E42:E44)</f>
        <v>3.290000000000191</v>
      </c>
      <c r="F41" s="206">
        <f>SUM(F42:F44)</f>
        <v>5.8099999999999454</v>
      </c>
      <c r="G41" s="206">
        <f>SUM(G42:G44)</f>
        <v>224.94999999999987</v>
      </c>
      <c r="H41" s="206">
        <f>SUM(H42:H44)</f>
        <v>118.15000000000018</v>
      </c>
      <c r="I41" s="206">
        <f t="shared" ref="I41:Q41" si="22">SUM(I42:I44)</f>
        <v>130.31999999999982</v>
      </c>
      <c r="J41" s="206">
        <f t="shared" si="22"/>
        <v>108.49000000000004</v>
      </c>
      <c r="K41" s="206">
        <f t="shared" si="22"/>
        <v>102.71000000000015</v>
      </c>
      <c r="L41" s="206">
        <f t="shared" si="22"/>
        <v>74.719999999999942</v>
      </c>
      <c r="M41" s="206">
        <f t="shared" si="22"/>
        <v>130.22999999999985</v>
      </c>
      <c r="N41" s="206">
        <f t="shared" si="22"/>
        <v>116.08999999999986</v>
      </c>
      <c r="O41" s="206">
        <f t="shared" si="22"/>
        <v>110.17000000000036</v>
      </c>
      <c r="P41" s="206">
        <f t="shared" si="22"/>
        <v>107.32999999999987</v>
      </c>
      <c r="Q41" s="206">
        <f t="shared" si="22"/>
        <v>105.61000000000013</v>
      </c>
    </row>
    <row r="42" spans="2:19" ht="15.75" x14ac:dyDescent="0.2">
      <c r="B42" s="108" t="s">
        <v>92</v>
      </c>
      <c r="C42" s="108" t="s">
        <v>98</v>
      </c>
      <c r="D42" s="206"/>
      <c r="E42" s="206">
        <f>E38-D38</f>
        <v>3.290000000000191</v>
      </c>
      <c r="F42" s="206">
        <f t="shared" ref="F42:Q42" si="23">F38-E38</f>
        <v>5.8099999999999454</v>
      </c>
      <c r="G42" s="206">
        <f t="shared" si="23"/>
        <v>181.63999999999987</v>
      </c>
      <c r="H42" s="206">
        <f t="shared" si="23"/>
        <v>94.060000000000173</v>
      </c>
      <c r="I42" s="206">
        <f t="shared" si="23"/>
        <v>91.189999999999827</v>
      </c>
      <c r="J42" s="206">
        <f t="shared" si="23"/>
        <v>90.700000000000045</v>
      </c>
      <c r="K42" s="206">
        <f t="shared" si="23"/>
        <v>85.880000000000109</v>
      </c>
      <c r="L42" s="206">
        <f t="shared" si="23"/>
        <v>65.309999999999945</v>
      </c>
      <c r="M42" s="206">
        <f t="shared" si="23"/>
        <v>98.379999999999882</v>
      </c>
      <c r="N42" s="206">
        <f t="shared" si="23"/>
        <v>98.389999999999873</v>
      </c>
      <c r="O42" s="206">
        <f t="shared" si="23"/>
        <v>98.390000000000327</v>
      </c>
      <c r="P42" s="206">
        <f t="shared" si="23"/>
        <v>98.389999999999873</v>
      </c>
      <c r="Q42" s="206">
        <f t="shared" si="23"/>
        <v>98.380000000000109</v>
      </c>
    </row>
    <row r="43" spans="2:19" ht="15.75" x14ac:dyDescent="0.2">
      <c r="B43" s="108" t="s">
        <v>99</v>
      </c>
      <c r="C43" s="108" t="s">
        <v>98</v>
      </c>
      <c r="D43" s="206"/>
      <c r="E43" s="206">
        <f>E39-D39</f>
        <v>0</v>
      </c>
      <c r="F43" s="206">
        <f t="shared" ref="F43:Q43" si="24">F39-E39</f>
        <v>0</v>
      </c>
      <c r="G43" s="206">
        <f t="shared" si="24"/>
        <v>25.060000000000002</v>
      </c>
      <c r="H43" s="206">
        <f t="shared" si="24"/>
        <v>20.890000000000015</v>
      </c>
      <c r="I43" s="206">
        <f t="shared" si="24"/>
        <v>34.699999999999989</v>
      </c>
      <c r="J43" s="206">
        <f t="shared" si="24"/>
        <v>13.539999999999992</v>
      </c>
      <c r="K43" s="206">
        <f t="shared" si="24"/>
        <v>9.8000000000000114</v>
      </c>
      <c r="L43" s="206">
        <f t="shared" si="24"/>
        <v>6.6699999999999875</v>
      </c>
      <c r="M43" s="206">
        <f t="shared" si="24"/>
        <v>19.800000000000011</v>
      </c>
      <c r="N43" s="206">
        <f t="shared" si="24"/>
        <v>17.699999999999989</v>
      </c>
      <c r="O43" s="206">
        <f t="shared" si="24"/>
        <v>11.220000000000027</v>
      </c>
      <c r="P43" s="206">
        <f t="shared" si="24"/>
        <v>8.3899999999999864</v>
      </c>
      <c r="Q43" s="206">
        <f t="shared" si="24"/>
        <v>7.2300000000000182</v>
      </c>
    </row>
    <row r="44" spans="2:19" ht="15.75" x14ac:dyDescent="0.2">
      <c r="B44" s="108" t="s">
        <v>95</v>
      </c>
      <c r="C44" s="108" t="s">
        <v>98</v>
      </c>
      <c r="D44" s="206"/>
      <c r="E44" s="206">
        <f>E40-D40</f>
        <v>0</v>
      </c>
      <c r="F44" s="206">
        <f t="shared" ref="F44:Q44" si="25">F40-E40</f>
        <v>0</v>
      </c>
      <c r="G44" s="206">
        <f t="shared" si="25"/>
        <v>18.25</v>
      </c>
      <c r="H44" s="206">
        <f t="shared" si="25"/>
        <v>3.1999999999999886</v>
      </c>
      <c r="I44" s="206">
        <f t="shared" si="25"/>
        <v>4.4300000000000068</v>
      </c>
      <c r="J44" s="206">
        <f t="shared" si="25"/>
        <v>4.25</v>
      </c>
      <c r="K44" s="206">
        <f t="shared" si="25"/>
        <v>7.0300000000000296</v>
      </c>
      <c r="L44" s="206">
        <f t="shared" si="25"/>
        <v>2.7400000000000091</v>
      </c>
      <c r="M44" s="206">
        <f t="shared" si="25"/>
        <v>12.049999999999955</v>
      </c>
      <c r="N44" s="206">
        <f t="shared" si="25"/>
        <v>0</v>
      </c>
      <c r="O44" s="206">
        <f t="shared" si="25"/>
        <v>0.56000000000000227</v>
      </c>
      <c r="P44" s="206">
        <f t="shared" si="25"/>
        <v>0.55000000000001137</v>
      </c>
      <c r="Q44" s="206">
        <f t="shared" si="25"/>
        <v>0</v>
      </c>
    </row>
    <row r="45" spans="2:19" x14ac:dyDescent="0.2">
      <c r="D45" s="179"/>
      <c r="E45" s="179"/>
      <c r="F45" s="179"/>
      <c r="G45" s="179"/>
      <c r="H45" s="179"/>
    </row>
    <row r="46" spans="2:19" x14ac:dyDescent="0.2">
      <c r="B46" s="401" t="s">
        <v>767</v>
      </c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3"/>
    </row>
    <row r="47" spans="2:19" x14ac:dyDescent="0.2">
      <c r="B47" s="25" t="s">
        <v>85</v>
      </c>
      <c r="C47" s="25" t="s">
        <v>86</v>
      </c>
      <c r="D47" s="254">
        <v>2022</v>
      </c>
      <c r="E47" s="5">
        <v>2023</v>
      </c>
      <c r="F47" s="5">
        <v>2024</v>
      </c>
      <c r="G47" s="5">
        <v>2025</v>
      </c>
      <c r="H47" s="5">
        <v>2026</v>
      </c>
      <c r="I47" s="5">
        <v>2027</v>
      </c>
      <c r="J47" s="5">
        <v>2028</v>
      </c>
      <c r="K47" s="5">
        <v>2029</v>
      </c>
      <c r="L47" s="5">
        <v>2030</v>
      </c>
      <c r="M47" s="5">
        <v>2031</v>
      </c>
      <c r="N47" s="5">
        <v>2032</v>
      </c>
      <c r="O47" s="5">
        <v>2033</v>
      </c>
      <c r="P47" s="5">
        <v>2034</v>
      </c>
      <c r="Q47" s="5">
        <v>2035</v>
      </c>
    </row>
    <row r="48" spans="2:19" x14ac:dyDescent="0.2">
      <c r="B48" s="108" t="s">
        <v>104</v>
      </c>
      <c r="C48" s="108" t="s">
        <v>765</v>
      </c>
      <c r="D48" s="205">
        <v>126.749</v>
      </c>
      <c r="E48" s="205">
        <v>131.333</v>
      </c>
      <c r="F48" s="205">
        <v>133.678</v>
      </c>
      <c r="G48" s="205">
        <v>135.994</v>
      </c>
      <c r="H48" s="205">
        <v>138.42000000000002</v>
      </c>
      <c r="I48" s="205">
        <v>140.69900000000001</v>
      </c>
      <c r="J48" s="205">
        <v>142.95599999999999</v>
      </c>
      <c r="K48" s="205">
        <v>145.059</v>
      </c>
      <c r="L48" s="205">
        <v>147.09699999999998</v>
      </c>
      <c r="M48" s="205">
        <v>149.45500000000001</v>
      </c>
      <c r="N48" s="205">
        <v>151.57600000000002</v>
      </c>
      <c r="O48" s="205">
        <v>153.79000000000002</v>
      </c>
      <c r="P48" s="205">
        <v>155.941</v>
      </c>
      <c r="Q48" s="205">
        <v>157.97199999999998</v>
      </c>
      <c r="S48" s="255">
        <f>Q48-D48</f>
        <v>31.222999999999985</v>
      </c>
    </row>
    <row r="49" spans="2:20" x14ac:dyDescent="0.2">
      <c r="B49" s="108" t="s">
        <v>92</v>
      </c>
      <c r="C49" s="108" t="s">
        <v>765</v>
      </c>
      <c r="D49" s="205">
        <v>58.151000000000003</v>
      </c>
      <c r="E49" s="205">
        <v>59.771000000000001</v>
      </c>
      <c r="F49" s="205">
        <v>61.029000000000003</v>
      </c>
      <c r="G49" s="205">
        <v>63.014000000000003</v>
      </c>
      <c r="H49" s="205">
        <v>64.998999999999995</v>
      </c>
      <c r="I49" s="205">
        <v>66.983999999999995</v>
      </c>
      <c r="J49" s="205">
        <v>68.968999999999994</v>
      </c>
      <c r="K49" s="205">
        <v>70.953999999999994</v>
      </c>
      <c r="L49" s="205">
        <v>72.938999999999993</v>
      </c>
      <c r="M49" s="205">
        <v>74.924000000000007</v>
      </c>
      <c r="N49" s="205">
        <v>76.908000000000001</v>
      </c>
      <c r="O49" s="205">
        <v>78.893000000000001</v>
      </c>
      <c r="P49" s="205">
        <v>80.878</v>
      </c>
      <c r="Q49" s="205">
        <v>82.863</v>
      </c>
      <c r="S49" s="255">
        <f t="shared" ref="S49:S54" si="26">Q49-D49</f>
        <v>24.711999999999996</v>
      </c>
    </row>
    <row r="50" spans="2:20" x14ac:dyDescent="0.2">
      <c r="B50" s="108" t="s">
        <v>105</v>
      </c>
      <c r="C50" s="108" t="s">
        <v>765</v>
      </c>
      <c r="D50" s="205">
        <v>68.597999999999985</v>
      </c>
      <c r="E50" s="205">
        <v>71.561999999999998</v>
      </c>
      <c r="F50" s="205">
        <v>72.649000000000001</v>
      </c>
      <c r="G50" s="205">
        <v>72.98</v>
      </c>
      <c r="H50" s="205">
        <v>73.421000000000006</v>
      </c>
      <c r="I50" s="205">
        <v>73.715000000000003</v>
      </c>
      <c r="J50" s="205">
        <v>73.986999999999995</v>
      </c>
      <c r="K50" s="205">
        <v>74.105000000000004</v>
      </c>
      <c r="L50" s="205">
        <v>74.158000000000001</v>
      </c>
      <c r="M50" s="205">
        <v>74.531000000000006</v>
      </c>
      <c r="N50" s="205">
        <v>74.668000000000006</v>
      </c>
      <c r="O50" s="205">
        <v>74.897000000000006</v>
      </c>
      <c r="P50" s="205">
        <v>75.063000000000002</v>
      </c>
      <c r="Q50" s="205">
        <v>75.108999999999995</v>
      </c>
      <c r="S50" s="255">
        <f t="shared" si="26"/>
        <v>6.5110000000000099</v>
      </c>
    </row>
    <row r="51" spans="2:20" x14ac:dyDescent="0.2">
      <c r="B51" s="108" t="s">
        <v>106</v>
      </c>
      <c r="C51" s="108" t="s">
        <v>765</v>
      </c>
      <c r="D51" s="206"/>
      <c r="E51" s="205">
        <f>E48-D48</f>
        <v>4.5840000000000032</v>
      </c>
      <c r="F51" s="205">
        <f t="shared" ref="F51:Q51" si="27">F48-E48</f>
        <v>2.3449999999999989</v>
      </c>
      <c r="G51" s="205">
        <f t="shared" si="27"/>
        <v>2.3160000000000025</v>
      </c>
      <c r="H51" s="205">
        <f t="shared" si="27"/>
        <v>2.4260000000000161</v>
      </c>
      <c r="I51" s="205">
        <f t="shared" si="27"/>
        <v>2.2789999999999964</v>
      </c>
      <c r="J51" s="205">
        <f t="shared" si="27"/>
        <v>2.2569999999999766</v>
      </c>
      <c r="K51" s="205">
        <f t="shared" si="27"/>
        <v>2.1030000000000086</v>
      </c>
      <c r="L51" s="205">
        <f t="shared" si="27"/>
        <v>2.0379999999999825</v>
      </c>
      <c r="M51" s="205">
        <f t="shared" si="27"/>
        <v>2.3580000000000325</v>
      </c>
      <c r="N51" s="205">
        <f t="shared" si="27"/>
        <v>2.1210000000000093</v>
      </c>
      <c r="O51" s="205">
        <f t="shared" si="27"/>
        <v>2.2139999999999986</v>
      </c>
      <c r="P51" s="205">
        <f t="shared" si="27"/>
        <v>2.150999999999982</v>
      </c>
      <c r="Q51" s="205">
        <f t="shared" si="27"/>
        <v>2.0309999999999775</v>
      </c>
      <c r="S51" s="255"/>
      <c r="T51" s="255">
        <f>SUM(E51:Q51)</f>
        <v>31.222999999999985</v>
      </c>
    </row>
    <row r="52" spans="2:20" x14ac:dyDescent="0.2">
      <c r="B52" s="108" t="s">
        <v>1053</v>
      </c>
      <c r="C52" s="108" t="s">
        <v>136</v>
      </c>
      <c r="D52" s="206"/>
      <c r="E52" s="205">
        <v>5.9669999999999996</v>
      </c>
      <c r="F52" s="205">
        <v>8.3930000000000007</v>
      </c>
      <c r="G52" s="205">
        <v>9.7029999999999994</v>
      </c>
      <c r="H52" s="205">
        <v>11.214</v>
      </c>
      <c r="I52" s="205">
        <v>12.458</v>
      </c>
      <c r="J52" s="205">
        <v>13.662000000000001</v>
      </c>
      <c r="K52" s="205">
        <v>14.585000000000001</v>
      </c>
      <c r="L52" s="205">
        <v>15.39</v>
      </c>
      <c r="M52" s="205">
        <v>16.777000000000001</v>
      </c>
      <c r="N52" s="205">
        <v>17.736000000000001</v>
      </c>
      <c r="O52" s="205">
        <v>18.861000000000001</v>
      </c>
      <c r="P52" s="205">
        <v>19.870999999999999</v>
      </c>
      <c r="Q52" s="205">
        <v>20.663</v>
      </c>
      <c r="S52" s="255">
        <f t="shared" si="26"/>
        <v>20.663</v>
      </c>
    </row>
    <row r="53" spans="2:20" x14ac:dyDescent="0.2">
      <c r="B53" s="108" t="s">
        <v>1054</v>
      </c>
      <c r="C53" s="108" t="s">
        <v>136</v>
      </c>
      <c r="D53" s="206"/>
      <c r="E53" s="205">
        <v>5.9669999999999996</v>
      </c>
      <c r="F53" s="205">
        <v>2.426000000000001</v>
      </c>
      <c r="G53" s="205">
        <v>1.3099999999999987</v>
      </c>
      <c r="H53" s="205">
        <v>1.511000000000001</v>
      </c>
      <c r="I53" s="205">
        <v>1.2439999999999998</v>
      </c>
      <c r="J53" s="205">
        <v>1.2040000000000006</v>
      </c>
      <c r="K53" s="205">
        <v>0.92300000000000004</v>
      </c>
      <c r="L53" s="205">
        <v>0.80499999999999972</v>
      </c>
      <c r="M53" s="205">
        <v>1.3870000000000005</v>
      </c>
      <c r="N53" s="205">
        <v>0.95899999999999963</v>
      </c>
      <c r="O53" s="205">
        <v>1.125</v>
      </c>
      <c r="P53" s="205">
        <v>1.009999999999998</v>
      </c>
      <c r="Q53" s="205">
        <v>0.79</v>
      </c>
      <c r="S53" s="255"/>
    </row>
    <row r="54" spans="2:20" x14ac:dyDescent="0.2">
      <c r="B54" s="108" t="s">
        <v>1055</v>
      </c>
      <c r="C54" s="108" t="s">
        <v>136</v>
      </c>
      <c r="D54" s="205">
        <v>18.21</v>
      </c>
      <c r="E54" s="205">
        <v>18.902999999999999</v>
      </c>
      <c r="F54" s="205">
        <v>19.242999999999999</v>
      </c>
      <c r="G54" s="205">
        <v>19.552</v>
      </c>
      <c r="H54" s="205">
        <v>19.88</v>
      </c>
      <c r="I54" s="205">
        <v>20.183</v>
      </c>
      <c r="J54" s="205">
        <v>20.483000000000001</v>
      </c>
      <c r="K54" s="205">
        <v>20.757000000000001</v>
      </c>
      <c r="L54" s="205">
        <v>21.021000000000001</v>
      </c>
      <c r="M54" s="205">
        <v>21.337</v>
      </c>
      <c r="N54" s="205">
        <v>21.614999999999998</v>
      </c>
      <c r="O54" s="205">
        <v>21.908000000000001</v>
      </c>
      <c r="P54" s="205">
        <v>22.19</v>
      </c>
      <c r="Q54" s="205">
        <v>22.452999999999999</v>
      </c>
      <c r="S54" s="255">
        <f t="shared" si="26"/>
        <v>4.2429999999999986</v>
      </c>
    </row>
    <row r="55" spans="2:20" x14ac:dyDescent="0.2">
      <c r="B55" s="108" t="s">
        <v>768</v>
      </c>
      <c r="C55" s="108" t="s">
        <v>136</v>
      </c>
      <c r="D55" s="205"/>
      <c r="E55" s="205">
        <f t="shared" ref="E55:Q55" si="28">E54-D54</f>
        <v>0.69299999999999784</v>
      </c>
      <c r="F55" s="205">
        <f t="shared" si="28"/>
        <v>0.33999999999999986</v>
      </c>
      <c r="G55" s="205">
        <f t="shared" si="28"/>
        <v>0.30900000000000105</v>
      </c>
      <c r="H55" s="205">
        <f t="shared" si="28"/>
        <v>0.3279999999999994</v>
      </c>
      <c r="I55" s="205">
        <f t="shared" si="28"/>
        <v>0.30300000000000082</v>
      </c>
      <c r="J55" s="205">
        <f t="shared" si="28"/>
        <v>0.30000000000000071</v>
      </c>
      <c r="K55" s="205">
        <f t="shared" si="28"/>
        <v>0.27400000000000091</v>
      </c>
      <c r="L55" s="205">
        <f t="shared" si="28"/>
        <v>0.26399999999999935</v>
      </c>
      <c r="M55" s="205">
        <f t="shared" si="28"/>
        <v>0.31599999999999895</v>
      </c>
      <c r="N55" s="205">
        <f t="shared" si="28"/>
        <v>0.27799999999999869</v>
      </c>
      <c r="O55" s="205">
        <f t="shared" si="28"/>
        <v>0.29300000000000281</v>
      </c>
      <c r="P55" s="205">
        <f t="shared" si="28"/>
        <v>0.28200000000000003</v>
      </c>
      <c r="Q55" s="205">
        <f t="shared" si="28"/>
        <v>0.26299999999999812</v>
      </c>
      <c r="S55" s="255"/>
    </row>
    <row r="56" spans="2:20" x14ac:dyDescent="0.2">
      <c r="B56" s="108" t="s">
        <v>1056</v>
      </c>
      <c r="C56" s="108" t="s">
        <v>136</v>
      </c>
      <c r="D56" s="205">
        <v>23.95</v>
      </c>
      <c r="E56" s="205">
        <v>24.643000000000001</v>
      </c>
      <c r="F56" s="205">
        <v>24.983000000000001</v>
      </c>
      <c r="G56" s="205">
        <v>25.292000000000002</v>
      </c>
      <c r="H56" s="205">
        <v>25.62</v>
      </c>
      <c r="I56" s="205">
        <v>25.922999999999998</v>
      </c>
      <c r="J56" s="205">
        <v>26.222999999999999</v>
      </c>
      <c r="K56" s="205">
        <v>26.497</v>
      </c>
      <c r="L56" s="205">
        <v>26.760999999999999</v>
      </c>
      <c r="M56" s="205">
        <v>27.077000000000002</v>
      </c>
      <c r="N56" s="205">
        <v>27.355</v>
      </c>
      <c r="O56" s="205">
        <v>27.648</v>
      </c>
      <c r="P56" s="205">
        <v>27.93</v>
      </c>
      <c r="Q56" s="205">
        <v>28.193000000000001</v>
      </c>
      <c r="S56" s="255">
        <f t="shared" ref="S56" si="29">Q56-D56</f>
        <v>4.2430000000000021</v>
      </c>
    </row>
    <row r="57" spans="2:20" s="300" customFormat="1" x14ac:dyDescent="0.2">
      <c r="B57" s="298"/>
      <c r="C57" s="298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S57" s="301"/>
    </row>
    <row r="58" spans="2:20" x14ac:dyDescent="0.2">
      <c r="S58" s="255"/>
    </row>
    <row r="59" spans="2:20" x14ac:dyDescent="0.2">
      <c r="B59" s="401" t="s">
        <v>107</v>
      </c>
      <c r="C59" s="402"/>
      <c r="D59" s="402"/>
      <c r="E59" s="402"/>
      <c r="F59" s="402"/>
      <c r="G59" s="402"/>
      <c r="H59" s="402"/>
      <c r="I59" s="402"/>
      <c r="J59" s="402"/>
      <c r="K59" s="402"/>
      <c r="L59" s="402"/>
      <c r="M59" s="402"/>
      <c r="N59" s="402"/>
      <c r="O59" s="402"/>
      <c r="P59" s="402"/>
      <c r="Q59" s="403"/>
    </row>
    <row r="60" spans="2:20" x14ac:dyDescent="0.2">
      <c r="B60" s="25" t="s">
        <v>85</v>
      </c>
      <c r="C60" s="25" t="s">
        <v>86</v>
      </c>
      <c r="D60" s="5">
        <v>2022</v>
      </c>
      <c r="E60" s="5">
        <v>2023</v>
      </c>
      <c r="F60" s="5">
        <v>2024</v>
      </c>
      <c r="G60" s="5">
        <v>2025</v>
      </c>
      <c r="H60" s="5">
        <v>2026</v>
      </c>
      <c r="I60" s="5">
        <v>2027</v>
      </c>
      <c r="J60" s="5">
        <v>2028</v>
      </c>
      <c r="K60" s="5">
        <v>2029</v>
      </c>
      <c r="L60" s="5">
        <v>2030</v>
      </c>
      <c r="M60" s="5">
        <v>2031</v>
      </c>
      <c r="N60" s="5">
        <v>2032</v>
      </c>
      <c r="O60" s="5">
        <v>2033</v>
      </c>
      <c r="P60" s="5">
        <v>2034</v>
      </c>
      <c r="Q60" s="5">
        <v>2035</v>
      </c>
    </row>
    <row r="61" spans="2:20" ht="15.75" x14ac:dyDescent="0.2">
      <c r="B61" s="108" t="s">
        <v>445</v>
      </c>
      <c r="C61" s="108" t="s">
        <v>446</v>
      </c>
      <c r="D61" s="230">
        <v>66.26642600000001</v>
      </c>
      <c r="E61" s="230">
        <v>67.402927697316983</v>
      </c>
      <c r="F61" s="230">
        <v>67.978813080698473</v>
      </c>
      <c r="G61" s="230">
        <v>69.739007750060168</v>
      </c>
      <c r="H61" s="230">
        <v>72.365319319108877</v>
      </c>
      <c r="I61" s="230">
        <v>72.752146493266125</v>
      </c>
      <c r="J61" s="230">
        <v>74.67973458502658</v>
      </c>
      <c r="K61" s="230">
        <v>76.855990618692218</v>
      </c>
      <c r="L61" s="230">
        <v>78.408473618586754</v>
      </c>
      <c r="M61" s="230">
        <v>80.389213398550794</v>
      </c>
      <c r="N61" s="230">
        <v>82.369953178514862</v>
      </c>
      <c r="O61" s="230">
        <v>84.350692958478902</v>
      </c>
      <c r="P61" s="230">
        <v>86.331432738442942</v>
      </c>
      <c r="Q61" s="230">
        <v>88.312172518406996</v>
      </c>
    </row>
    <row r="62" spans="2:20" ht="15.75" x14ac:dyDescent="0.2">
      <c r="B62" s="108" t="s">
        <v>108</v>
      </c>
      <c r="C62" s="108" t="s">
        <v>98</v>
      </c>
      <c r="D62" s="206">
        <f>SUM(D63:D65)</f>
        <v>0</v>
      </c>
      <c r="E62" s="206">
        <f>(E61-D61)*1000</f>
        <v>1136.5016973169732</v>
      </c>
      <c r="F62" s="206">
        <f t="shared" ref="F62:Q62" si="30">(F61-E61)*1000</f>
        <v>575.88538338148965</v>
      </c>
      <c r="G62" s="206">
        <f t="shared" si="30"/>
        <v>1760.1946693616951</v>
      </c>
      <c r="H62" s="206">
        <f t="shared" si="30"/>
        <v>2626.3115690487098</v>
      </c>
      <c r="I62" s="206">
        <f t="shared" si="30"/>
        <v>386.8271741572471</v>
      </c>
      <c r="J62" s="206">
        <f t="shared" si="30"/>
        <v>1927.5880917604554</v>
      </c>
      <c r="K62" s="206">
        <f t="shared" si="30"/>
        <v>2176.2560336656379</v>
      </c>
      <c r="L62" s="206">
        <f t="shared" si="30"/>
        <v>1552.4829998945365</v>
      </c>
      <c r="M62" s="206">
        <f t="shared" si="30"/>
        <v>1980.7397799640398</v>
      </c>
      <c r="N62" s="206">
        <f t="shared" si="30"/>
        <v>1980.7397799640682</v>
      </c>
      <c r="O62" s="206">
        <f t="shared" si="30"/>
        <v>1980.7397799640398</v>
      </c>
      <c r="P62" s="206">
        <f t="shared" si="30"/>
        <v>1980.7397799640398</v>
      </c>
      <c r="Q62" s="206">
        <f t="shared" si="30"/>
        <v>1980.7397799640539</v>
      </c>
    </row>
    <row r="63" spans="2:20" ht="15.75" x14ac:dyDescent="0.2">
      <c r="B63" s="108" t="s">
        <v>92</v>
      </c>
      <c r="C63" s="108" t="s">
        <v>98</v>
      </c>
      <c r="D63" s="206">
        <v>0</v>
      </c>
      <c r="E63" s="206">
        <v>487.53867462961898</v>
      </c>
      <c r="F63" s="206">
        <v>595.3340272816622</v>
      </c>
      <c r="G63" s="206">
        <v>759.31752584341848</v>
      </c>
      <c r="H63" s="206">
        <v>488.07401866454165</v>
      </c>
      <c r="I63" s="206">
        <v>488.07401866454347</v>
      </c>
      <c r="J63" s="206">
        <v>488.07401866454165</v>
      </c>
      <c r="K63" s="206">
        <v>488.07401866454165</v>
      </c>
      <c r="L63" s="206">
        <v>488.07401866454165</v>
      </c>
      <c r="M63" s="206">
        <v>488.07401866454165</v>
      </c>
      <c r="N63" s="206">
        <v>488.07401866454165</v>
      </c>
      <c r="O63" s="206">
        <v>488.07401866454165</v>
      </c>
      <c r="P63" s="206">
        <v>488.07401866454529</v>
      </c>
      <c r="Q63" s="206">
        <v>488.07401866454165</v>
      </c>
    </row>
    <row r="64" spans="2:20" ht="15.75" x14ac:dyDescent="0.2">
      <c r="B64" s="108" t="s">
        <v>109</v>
      </c>
      <c r="C64" s="108" t="s">
        <v>98</v>
      </c>
      <c r="D64" s="206">
        <v>0</v>
      </c>
      <c r="E64" s="206">
        <v>421.02012639692111</v>
      </c>
      <c r="F64" s="206">
        <v>-134.95131541330193</v>
      </c>
      <c r="G64" s="206">
        <v>647.84302846460923</v>
      </c>
      <c r="H64" s="206">
        <v>1611.4903690791834</v>
      </c>
      <c r="I64" s="206">
        <v>-178.83098419613816</v>
      </c>
      <c r="J64" s="206">
        <v>1052.9066324487867</v>
      </c>
      <c r="K64" s="206">
        <v>1251.7003937642949</v>
      </c>
      <c r="L64" s="206">
        <v>753.0346363671124</v>
      </c>
      <c r="M64" s="206">
        <v>1095.3979320401486</v>
      </c>
      <c r="N64" s="206">
        <v>1095.3979320401486</v>
      </c>
      <c r="O64" s="206">
        <v>1095.3979320401486</v>
      </c>
      <c r="P64" s="206">
        <v>1095.3979320401413</v>
      </c>
      <c r="Q64" s="206">
        <v>1095.3979320401486</v>
      </c>
    </row>
    <row r="65" spans="2:17" ht="15.75" x14ac:dyDescent="0.2">
      <c r="B65" s="108" t="s">
        <v>365</v>
      </c>
      <c r="C65" s="108" t="s">
        <v>98</v>
      </c>
      <c r="D65" s="206">
        <v>0</v>
      </c>
      <c r="E65" s="206">
        <v>227.94289629043851</v>
      </c>
      <c r="F65" s="206">
        <v>115.50267151311709</v>
      </c>
      <c r="G65" s="206">
        <v>353.0341150536733</v>
      </c>
      <c r="H65" s="206">
        <v>526.74718130498331</v>
      </c>
      <c r="I65" s="206">
        <v>77.584139688844516</v>
      </c>
      <c r="J65" s="206">
        <v>386.60744064713253</v>
      </c>
      <c r="K65" s="206">
        <v>436.48162123679685</v>
      </c>
      <c r="L65" s="206">
        <v>311.37434486288657</v>
      </c>
      <c r="M65" s="206">
        <v>397.26782925935549</v>
      </c>
      <c r="N65" s="206">
        <v>397.26782925936095</v>
      </c>
      <c r="O65" s="206">
        <v>397.26782925935186</v>
      </c>
      <c r="P65" s="206">
        <v>397.26782925935549</v>
      </c>
      <c r="Q65" s="206">
        <v>397.26782925935913</v>
      </c>
    </row>
    <row r="66" spans="2:17" ht="15.75" x14ac:dyDescent="0.2">
      <c r="B66" s="108" t="s">
        <v>110</v>
      </c>
      <c r="C66" s="108" t="s">
        <v>111</v>
      </c>
      <c r="D66" s="206">
        <f>SUM(D67:D69)</f>
        <v>0</v>
      </c>
      <c r="E66" s="206">
        <f t="shared" ref="E66:Q66" si="31">SUM(E67:E69)</f>
        <v>360.03885697992047</v>
      </c>
      <c r="F66" s="206">
        <f t="shared" si="31"/>
        <v>233.68289036058243</v>
      </c>
      <c r="G66" s="206">
        <f t="shared" si="31"/>
        <v>558.2438731454971</v>
      </c>
      <c r="H66" s="206">
        <f t="shared" si="31"/>
        <v>738.0501127445109</v>
      </c>
      <c r="I66" s="206">
        <f t="shared" si="31"/>
        <v>169.94143824135077</v>
      </c>
      <c r="J66" s="206">
        <f t="shared" si="31"/>
        <v>560.79910379264697</v>
      </c>
      <c r="K66" s="206">
        <f t="shared" si="31"/>
        <v>623.88077347939816</v>
      </c>
      <c r="L66" s="206">
        <f t="shared" si="31"/>
        <v>465.64306831169318</v>
      </c>
      <c r="M66" s="206">
        <f t="shared" si="31"/>
        <v>574.28253560481983</v>
      </c>
      <c r="N66" s="206">
        <f t="shared" si="31"/>
        <v>574.28253560482119</v>
      </c>
      <c r="O66" s="206">
        <f t="shared" si="31"/>
        <v>574.28253560481892</v>
      </c>
      <c r="P66" s="206">
        <f t="shared" si="31"/>
        <v>574.28253560481937</v>
      </c>
      <c r="Q66" s="206">
        <f t="shared" si="31"/>
        <v>574.28253560482074</v>
      </c>
    </row>
    <row r="67" spans="2:17" ht="15.75" x14ac:dyDescent="0.2">
      <c r="B67" s="108" t="s">
        <v>92</v>
      </c>
      <c r="C67" s="108" t="s">
        <v>111</v>
      </c>
      <c r="D67" s="206">
        <f>D63*(0.1+0.9/24/365*1000/0.45)</f>
        <v>0</v>
      </c>
      <c r="E67" s="206">
        <f>E63*1000/(24*(0.167*0.125*365+0.833*0.45*257))</f>
        <v>195.41099734335032</v>
      </c>
      <c r="F67" s="206">
        <f t="shared" ref="F67:Q67" si="32">F63*1000/(24*(0.167*0.125*365+0.833*0.45*257))</f>
        <v>238.61658998011183</v>
      </c>
      <c r="G67" s="206">
        <f t="shared" si="32"/>
        <v>304.34302496734324</v>
      </c>
      <c r="H67" s="206">
        <f t="shared" si="32"/>
        <v>195.62556926806076</v>
      </c>
      <c r="I67" s="206">
        <f t="shared" si="32"/>
        <v>195.62556926806147</v>
      </c>
      <c r="J67" s="206">
        <f t="shared" si="32"/>
        <v>195.62556926806076</v>
      </c>
      <c r="K67" s="206">
        <f t="shared" si="32"/>
        <v>195.62556926806076</v>
      </c>
      <c r="L67" s="206">
        <f t="shared" si="32"/>
        <v>195.62556926806076</v>
      </c>
      <c r="M67" s="206">
        <f t="shared" si="32"/>
        <v>195.62556926806076</v>
      </c>
      <c r="N67" s="206">
        <f t="shared" si="32"/>
        <v>195.62556926806076</v>
      </c>
      <c r="O67" s="206">
        <f t="shared" si="32"/>
        <v>195.62556926806076</v>
      </c>
      <c r="P67" s="206">
        <f t="shared" si="32"/>
        <v>195.62556926806221</v>
      </c>
      <c r="Q67" s="206">
        <f t="shared" si="32"/>
        <v>195.62556926806076</v>
      </c>
    </row>
    <row r="68" spans="2:17" ht="15.75" x14ac:dyDescent="0.2">
      <c r="B68" s="108" t="s">
        <v>109</v>
      </c>
      <c r="C68" s="108" t="s">
        <v>111</v>
      </c>
      <c r="D68" s="206">
        <f>D64/24/365*1000/0.45</f>
        <v>0</v>
      </c>
      <c r="E68" s="206">
        <f t="shared" ref="E68:Q68" si="33">E64/24/365*1000/0.45</f>
        <v>106.80368503219714</v>
      </c>
      <c r="F68" s="206">
        <f t="shared" si="33"/>
        <v>-34.234225117529661</v>
      </c>
      <c r="G68" s="206">
        <f t="shared" si="33"/>
        <v>164.34374136595872</v>
      </c>
      <c r="H68" s="206">
        <f t="shared" si="33"/>
        <v>408.80019509872739</v>
      </c>
      <c r="I68" s="206">
        <f t="shared" si="33"/>
        <v>-45.365546472891459</v>
      </c>
      <c r="J68" s="206">
        <f t="shared" si="33"/>
        <v>267.09960234621678</v>
      </c>
      <c r="K68" s="206">
        <f t="shared" si="33"/>
        <v>317.52927289809617</v>
      </c>
      <c r="L68" s="206">
        <f t="shared" si="33"/>
        <v>191.02857340616751</v>
      </c>
      <c r="M68" s="206">
        <f t="shared" si="33"/>
        <v>277.87872451551209</v>
      </c>
      <c r="N68" s="206">
        <f t="shared" si="33"/>
        <v>277.87872451551209</v>
      </c>
      <c r="O68" s="206">
        <f t="shared" si="33"/>
        <v>277.87872451551209</v>
      </c>
      <c r="P68" s="206">
        <f t="shared" si="33"/>
        <v>277.87872451551021</v>
      </c>
      <c r="Q68" s="206">
        <f t="shared" si="33"/>
        <v>277.87872451551209</v>
      </c>
    </row>
    <row r="69" spans="2:17" ht="15.75" x14ac:dyDescent="0.2">
      <c r="B69" s="108" t="s">
        <v>365</v>
      </c>
      <c r="C69" s="108" t="s">
        <v>111</v>
      </c>
      <c r="D69" s="206">
        <f t="shared" ref="D69" si="34">D65/24/365*1000</f>
        <v>0</v>
      </c>
      <c r="E69" s="206">
        <f>E65/24/365*1000/0.45</f>
        <v>57.824174604373034</v>
      </c>
      <c r="F69" s="206">
        <f t="shared" ref="F69:Q69" si="35">F65/24/365*1000/0.45</f>
        <v>29.300525498000276</v>
      </c>
      <c r="G69" s="206">
        <f t="shared" si="35"/>
        <v>89.557106812195158</v>
      </c>
      <c r="H69" s="206">
        <f t="shared" si="35"/>
        <v>133.62434837772281</v>
      </c>
      <c r="I69" s="206">
        <f t="shared" si="35"/>
        <v>19.681415446180747</v>
      </c>
      <c r="J69" s="206">
        <f t="shared" si="35"/>
        <v>98.073932178369489</v>
      </c>
      <c r="K69" s="206">
        <f t="shared" si="35"/>
        <v>110.72593131324123</v>
      </c>
      <c r="L69" s="206">
        <f t="shared" si="35"/>
        <v>78.988925637464874</v>
      </c>
      <c r="M69" s="206">
        <f t="shared" si="35"/>
        <v>100.77824182124695</v>
      </c>
      <c r="N69" s="206">
        <f t="shared" si="35"/>
        <v>100.77824182124834</v>
      </c>
      <c r="O69" s="206">
        <f t="shared" si="35"/>
        <v>100.77824182124603</v>
      </c>
      <c r="P69" s="206">
        <f t="shared" si="35"/>
        <v>100.77824182124695</v>
      </c>
      <c r="Q69" s="206">
        <f t="shared" si="35"/>
        <v>100.77824182124786</v>
      </c>
    </row>
    <row r="70" spans="2:17" x14ac:dyDescent="0.2">
      <c r="B70" s="131"/>
      <c r="C70" s="131"/>
      <c r="D70" s="180"/>
      <c r="E70" s="180"/>
      <c r="F70" s="180"/>
      <c r="G70" s="180"/>
      <c r="H70" s="180"/>
    </row>
    <row r="72" spans="2:17" x14ac:dyDescent="0.2">
      <c r="B72" s="401" t="s">
        <v>113</v>
      </c>
      <c r="C72" s="402"/>
      <c r="D72" s="402"/>
      <c r="E72" s="402"/>
      <c r="F72" s="402"/>
      <c r="G72" s="402"/>
      <c r="H72" s="402"/>
      <c r="I72" s="402"/>
      <c r="J72" s="402"/>
      <c r="K72" s="402"/>
      <c r="L72" s="402"/>
      <c r="M72" s="402"/>
      <c r="N72" s="402"/>
      <c r="O72" s="402"/>
      <c r="P72" s="402"/>
      <c r="Q72" s="403"/>
    </row>
    <row r="73" spans="2:17" x14ac:dyDescent="0.2">
      <c r="B73" s="181" t="s">
        <v>85</v>
      </c>
      <c r="C73" s="181" t="s">
        <v>86</v>
      </c>
      <c r="D73" s="5">
        <v>2022</v>
      </c>
      <c r="E73" s="5">
        <v>2023</v>
      </c>
      <c r="F73" s="5">
        <v>2024</v>
      </c>
      <c r="G73" s="5">
        <v>2025</v>
      </c>
      <c r="H73" s="5">
        <v>2026</v>
      </c>
      <c r="I73" s="5">
        <v>2027</v>
      </c>
      <c r="J73" s="5">
        <v>2028</v>
      </c>
      <c r="K73" s="5">
        <v>2029</v>
      </c>
      <c r="L73" s="5">
        <v>2030</v>
      </c>
      <c r="M73" s="5">
        <v>2031</v>
      </c>
      <c r="N73" s="5">
        <v>2032</v>
      </c>
      <c r="O73" s="5">
        <v>2033</v>
      </c>
      <c r="P73" s="5">
        <v>2034</v>
      </c>
      <c r="Q73" s="5">
        <v>2035</v>
      </c>
    </row>
    <row r="74" spans="2:17" ht="25.5" x14ac:dyDescent="0.2">
      <c r="B74" s="108" t="s">
        <v>409</v>
      </c>
      <c r="C74" s="108" t="s">
        <v>408</v>
      </c>
      <c r="D74" s="207">
        <v>40.325000000000003</v>
      </c>
      <c r="E74" s="207">
        <v>41.489000000000004</v>
      </c>
      <c r="F74" s="207">
        <v>42.652999999999999</v>
      </c>
      <c r="G74" s="207">
        <v>43.817999999999998</v>
      </c>
      <c r="H74" s="207">
        <v>44.981999999999999</v>
      </c>
      <c r="I74" s="207">
        <v>46.146000000000001</v>
      </c>
      <c r="J74" s="207">
        <v>47.31</v>
      </c>
      <c r="K74" s="207">
        <v>48.475000000000001</v>
      </c>
      <c r="L74" s="207">
        <v>49.639000000000003</v>
      </c>
      <c r="M74" s="207">
        <v>50.803000000000004</v>
      </c>
      <c r="N74" s="207">
        <v>51.968000000000004</v>
      </c>
      <c r="O74" s="207">
        <v>53.131999999999998</v>
      </c>
      <c r="P74" s="207">
        <v>54.295999999999999</v>
      </c>
      <c r="Q74" s="207">
        <v>55.460999999999999</v>
      </c>
    </row>
    <row r="75" spans="2:17" ht="38.25" x14ac:dyDescent="0.2">
      <c r="B75" s="108" t="s">
        <v>375</v>
      </c>
      <c r="C75" s="108" t="s">
        <v>376</v>
      </c>
      <c r="D75" s="207">
        <v>1.897</v>
      </c>
      <c r="E75" s="207">
        <f>D75</f>
        <v>1.897</v>
      </c>
      <c r="F75" s="207">
        <f t="shared" ref="F75:Q75" si="36">E75</f>
        <v>1.897</v>
      </c>
      <c r="G75" s="207">
        <f t="shared" si="36"/>
        <v>1.897</v>
      </c>
      <c r="H75" s="207">
        <f t="shared" si="36"/>
        <v>1.897</v>
      </c>
      <c r="I75" s="207">
        <f t="shared" si="36"/>
        <v>1.897</v>
      </c>
      <c r="J75" s="207">
        <f t="shared" si="36"/>
        <v>1.897</v>
      </c>
      <c r="K75" s="207">
        <f t="shared" si="36"/>
        <v>1.897</v>
      </c>
      <c r="L75" s="207">
        <f t="shared" si="36"/>
        <v>1.897</v>
      </c>
      <c r="M75" s="207">
        <f t="shared" si="36"/>
        <v>1.897</v>
      </c>
      <c r="N75" s="207">
        <f t="shared" si="36"/>
        <v>1.897</v>
      </c>
      <c r="O75" s="207">
        <f t="shared" si="36"/>
        <v>1.897</v>
      </c>
      <c r="P75" s="207">
        <f t="shared" si="36"/>
        <v>1.897</v>
      </c>
      <c r="Q75" s="207">
        <f t="shared" si="36"/>
        <v>1.897</v>
      </c>
    </row>
    <row r="76" spans="2:17" ht="38.25" x14ac:dyDescent="0.2">
      <c r="B76" s="108" t="s">
        <v>377</v>
      </c>
      <c r="C76" s="108" t="s">
        <v>376</v>
      </c>
      <c r="D76" s="207">
        <v>2.145</v>
      </c>
      <c r="E76" s="207">
        <f>D76</f>
        <v>2.145</v>
      </c>
      <c r="F76" s="207">
        <f t="shared" ref="F76:Q76" si="37">E76</f>
        <v>2.145</v>
      </c>
      <c r="G76" s="207">
        <f t="shared" si="37"/>
        <v>2.145</v>
      </c>
      <c r="H76" s="207">
        <f t="shared" si="37"/>
        <v>2.145</v>
      </c>
      <c r="I76" s="207">
        <f t="shared" si="37"/>
        <v>2.145</v>
      </c>
      <c r="J76" s="207">
        <f t="shared" si="37"/>
        <v>2.145</v>
      </c>
      <c r="K76" s="207">
        <f t="shared" si="37"/>
        <v>2.145</v>
      </c>
      <c r="L76" s="207">
        <f t="shared" si="37"/>
        <v>2.145</v>
      </c>
      <c r="M76" s="207">
        <f t="shared" si="37"/>
        <v>2.145</v>
      </c>
      <c r="N76" s="207">
        <f t="shared" si="37"/>
        <v>2.145</v>
      </c>
      <c r="O76" s="207">
        <f t="shared" si="37"/>
        <v>2.145</v>
      </c>
      <c r="P76" s="207">
        <f t="shared" si="37"/>
        <v>2.145</v>
      </c>
      <c r="Q76" s="207">
        <f t="shared" si="37"/>
        <v>2.145</v>
      </c>
    </row>
    <row r="77" spans="2:17" x14ac:dyDescent="0.2">
      <c r="B77" s="108" t="s">
        <v>378</v>
      </c>
      <c r="C77" s="108" t="s">
        <v>379</v>
      </c>
      <c r="D77" s="232">
        <f>111.304*1000</f>
        <v>111304</v>
      </c>
      <c r="E77" s="232">
        <f>121.818*1000</f>
        <v>121818</v>
      </c>
      <c r="F77" s="232">
        <f>124.311*1000</f>
        <v>124311</v>
      </c>
      <c r="G77" s="232">
        <f>124.311*1000</f>
        <v>124311</v>
      </c>
      <c r="H77" s="232">
        <f>H74*$D$81*1000</f>
        <v>128736.04086928962</v>
      </c>
      <c r="I77" s="232">
        <f t="shared" ref="I77:Q77" si="38">I74*$D$81*1000</f>
        <v>132067.34564835351</v>
      </c>
      <c r="J77" s="232">
        <f t="shared" si="38"/>
        <v>135398.65042741742</v>
      </c>
      <c r="K77" s="232">
        <f t="shared" si="38"/>
        <v>138732.81715216782</v>
      </c>
      <c r="L77" s="232">
        <f t="shared" si="38"/>
        <v>142064.12193123176</v>
      </c>
      <c r="M77" s="232">
        <f t="shared" si="38"/>
        <v>145395.42671029569</v>
      </c>
      <c r="N77" s="232">
        <f t="shared" si="38"/>
        <v>148729.59343504606</v>
      </c>
      <c r="O77" s="232">
        <f t="shared" si="38"/>
        <v>152060.89821410997</v>
      </c>
      <c r="P77" s="232">
        <f t="shared" si="38"/>
        <v>155392.20299317391</v>
      </c>
      <c r="Q77" s="232">
        <f t="shared" si="38"/>
        <v>158726.36971792427</v>
      </c>
    </row>
    <row r="78" spans="2:17" x14ac:dyDescent="0.2">
      <c r="B78" s="108" t="s">
        <v>410</v>
      </c>
      <c r="C78" s="108" t="s">
        <v>379</v>
      </c>
      <c r="D78" s="189" t="s">
        <v>112</v>
      </c>
      <c r="E78" s="232">
        <f>E77-D77</f>
        <v>10514</v>
      </c>
      <c r="F78" s="232">
        <f t="shared" ref="F78:Q78" si="39">F77-E77</f>
        <v>2493</v>
      </c>
      <c r="G78" s="232">
        <f>G77-F77</f>
        <v>0</v>
      </c>
      <c r="H78" s="232">
        <f t="shared" si="39"/>
        <v>4425.0408692896162</v>
      </c>
      <c r="I78" s="232">
        <f t="shared" si="39"/>
        <v>3331.3047790638957</v>
      </c>
      <c r="J78" s="232">
        <f t="shared" si="39"/>
        <v>3331.3047790639102</v>
      </c>
      <c r="K78" s="232">
        <f t="shared" si="39"/>
        <v>3334.1667247503938</v>
      </c>
      <c r="L78" s="232">
        <f t="shared" si="39"/>
        <v>3331.3047790639393</v>
      </c>
      <c r="M78" s="232">
        <f t="shared" si="39"/>
        <v>3331.3047790639393</v>
      </c>
      <c r="N78" s="232">
        <f t="shared" si="39"/>
        <v>3334.1667247503647</v>
      </c>
      <c r="O78" s="232">
        <f t="shared" si="39"/>
        <v>3331.3047790639102</v>
      </c>
      <c r="P78" s="232">
        <f t="shared" si="39"/>
        <v>3331.3047790639393</v>
      </c>
      <c r="Q78" s="232">
        <f t="shared" si="39"/>
        <v>3334.1667247503647</v>
      </c>
    </row>
    <row r="79" spans="2:17" hidden="1" x14ac:dyDescent="0.2"/>
    <row r="80" spans="2:17" hidden="1" x14ac:dyDescent="0.2">
      <c r="D80" s="178">
        <f>D77/(D74*1000)</f>
        <v>2.7601735895846251</v>
      </c>
      <c r="E80" s="178">
        <f>E77/(E74*1000)</f>
        <v>2.9361517510665474</v>
      </c>
      <c r="F80" s="178">
        <f>F77/(F74*1000)</f>
        <v>2.9144726045061309</v>
      </c>
      <c r="G80" s="178">
        <f>G77/(G74*1000)</f>
        <v>2.8369848007668081</v>
      </c>
    </row>
    <row r="81" spans="4:22" hidden="1" x14ac:dyDescent="0.2">
      <c r="D81" s="178">
        <f>AVERAGE(D80:G80)</f>
        <v>2.861945686481028</v>
      </c>
    </row>
    <row r="86" spans="4:22" x14ac:dyDescent="0.2">
      <c r="D86" s="222"/>
      <c r="E86" s="222"/>
      <c r="F86" s="222"/>
      <c r="G86" s="222"/>
      <c r="H86" s="222"/>
      <c r="I86" s="222"/>
      <c r="J86" s="222"/>
      <c r="K86" s="222"/>
      <c r="L86" s="222"/>
      <c r="M86" s="222"/>
      <c r="N86" s="222"/>
      <c r="O86" s="222"/>
      <c r="P86" s="222"/>
      <c r="Q86" s="222"/>
      <c r="R86" s="222"/>
      <c r="S86" s="222"/>
      <c r="T86" s="222"/>
      <c r="U86" s="222"/>
      <c r="V86" s="222"/>
    </row>
    <row r="87" spans="4:22" x14ac:dyDescent="0.2">
      <c r="D87" s="222"/>
      <c r="E87" s="222"/>
      <c r="F87" s="222"/>
      <c r="G87" s="222"/>
      <c r="H87" s="222"/>
      <c r="I87" s="222"/>
      <c r="J87" s="222"/>
      <c r="K87" s="222"/>
      <c r="L87" s="222"/>
      <c r="M87" s="222"/>
      <c r="N87" s="222"/>
      <c r="O87" s="222"/>
      <c r="P87" s="222"/>
      <c r="Q87" s="222"/>
      <c r="R87" s="222"/>
      <c r="S87" s="222"/>
      <c r="T87" s="222"/>
      <c r="U87" s="222"/>
      <c r="V87" s="222"/>
    </row>
    <row r="88" spans="4:22" x14ac:dyDescent="0.2"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  <c r="S88" s="222"/>
      <c r="T88" s="222"/>
      <c r="U88" s="222"/>
      <c r="V88" s="222"/>
    </row>
    <row r="90" spans="4:22" x14ac:dyDescent="0.2">
      <c r="D90" s="222"/>
    </row>
  </sheetData>
  <mergeCells count="7">
    <mergeCell ref="B4:Q4"/>
    <mergeCell ref="B72:Q72"/>
    <mergeCell ref="B35:Q35"/>
    <mergeCell ref="B13:Q13"/>
    <mergeCell ref="B59:Q59"/>
    <mergeCell ref="B46:Q46"/>
    <mergeCell ref="B24:Q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3"/>
  <sheetViews>
    <sheetView zoomScaleNormal="100" workbookViewId="0">
      <selection activeCell="W11" sqref="W11"/>
    </sheetView>
  </sheetViews>
  <sheetFormatPr defaultColWidth="8.83203125" defaultRowHeight="15" x14ac:dyDescent="0.25"/>
  <cols>
    <col min="1" max="2" width="8.83203125" style="6"/>
    <col min="3" max="3" width="7.1640625" style="6" customWidth="1"/>
    <col min="4" max="4" width="52.1640625" style="6" customWidth="1"/>
    <col min="5" max="5" width="20.1640625" style="6" customWidth="1"/>
    <col min="6" max="19" width="10.33203125" style="6" customWidth="1"/>
    <col min="20" max="16384" width="8.83203125" style="6"/>
  </cols>
  <sheetData>
    <row r="1" spans="3:19" x14ac:dyDescent="0.25">
      <c r="C1" s="404" t="s">
        <v>193</v>
      </c>
      <c r="D1" s="404"/>
      <c r="E1" s="404"/>
      <c r="F1" s="404"/>
      <c r="G1" s="404"/>
      <c r="H1" s="404"/>
      <c r="I1" s="404"/>
      <c r="J1" s="404"/>
      <c r="K1" s="404"/>
      <c r="L1" s="404"/>
      <c r="M1" s="404"/>
      <c r="N1" s="404"/>
      <c r="O1" s="404"/>
      <c r="P1" s="404"/>
      <c r="Q1" s="404"/>
      <c r="R1" s="404"/>
      <c r="S1" s="404"/>
    </row>
    <row r="2" spans="3:19" x14ac:dyDescent="0.25"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  <c r="O2" s="404"/>
      <c r="P2" s="404"/>
      <c r="Q2" s="404"/>
      <c r="R2" s="404"/>
      <c r="S2" s="404"/>
    </row>
    <row r="3" spans="3:19" x14ac:dyDescent="0.25">
      <c r="C3" s="25" t="s">
        <v>36</v>
      </c>
      <c r="D3" s="25" t="s">
        <v>135</v>
      </c>
      <c r="E3" s="25" t="s">
        <v>369</v>
      </c>
      <c r="F3" s="5">
        <v>2022</v>
      </c>
      <c r="G3" s="5">
        <v>2023</v>
      </c>
      <c r="H3" s="5">
        <v>2024</v>
      </c>
      <c r="I3" s="5">
        <v>2025</v>
      </c>
      <c r="J3" s="5">
        <v>2026</v>
      </c>
      <c r="K3" s="5">
        <v>2027</v>
      </c>
      <c r="L3" s="5">
        <v>2028</v>
      </c>
      <c r="M3" s="5">
        <v>2029</v>
      </c>
      <c r="N3" s="5">
        <v>2030</v>
      </c>
      <c r="O3" s="5">
        <v>2031</v>
      </c>
      <c r="P3" s="5">
        <v>2032</v>
      </c>
      <c r="Q3" s="5">
        <v>2033</v>
      </c>
      <c r="R3" s="5">
        <v>2034</v>
      </c>
      <c r="S3" s="5">
        <v>2035</v>
      </c>
    </row>
    <row r="4" spans="3:19" x14ac:dyDescent="0.25">
      <c r="C4" s="285" t="s">
        <v>229</v>
      </c>
      <c r="D4" s="286" t="s">
        <v>427</v>
      </c>
      <c r="E4" s="287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3"/>
    </row>
    <row r="5" spans="3:19" x14ac:dyDescent="0.25">
      <c r="C5" s="288" t="s">
        <v>231</v>
      </c>
      <c r="D5" s="289" t="s">
        <v>428</v>
      </c>
      <c r="E5" s="288" t="s">
        <v>94</v>
      </c>
      <c r="F5" s="284">
        <v>280.35940529999999</v>
      </c>
      <c r="G5" s="284">
        <v>271.45526462918735</v>
      </c>
      <c r="H5" s="284">
        <v>270.62960156389636</v>
      </c>
      <c r="I5" s="284">
        <v>275.08389052766108</v>
      </c>
      <c r="J5" s="284">
        <v>289.48908860403225</v>
      </c>
      <c r="K5" s="284">
        <v>298.69263621042069</v>
      </c>
      <c r="L5" s="284">
        <v>308.00508544384161</v>
      </c>
      <c r="M5" s="284">
        <v>317.0433933224881</v>
      </c>
      <c r="N5" s="284">
        <v>324.97770558897656</v>
      </c>
      <c r="O5" s="284">
        <v>332.94635642859674</v>
      </c>
      <c r="P5" s="284">
        <v>340.91500726821687</v>
      </c>
      <c r="Q5" s="284">
        <v>348.88365810783716</v>
      </c>
      <c r="R5" s="284">
        <v>356.85230894745729</v>
      </c>
      <c r="S5" s="284">
        <v>364.82095978707747</v>
      </c>
    </row>
    <row r="6" spans="3:19" ht="26.25" x14ac:dyDescent="0.25">
      <c r="C6" s="288" t="s">
        <v>234</v>
      </c>
      <c r="D6" s="289" t="s">
        <v>370</v>
      </c>
      <c r="E6" s="288" t="s">
        <v>94</v>
      </c>
      <c r="F6" s="284">
        <v>206.41225449999996</v>
      </c>
      <c r="G6" s="284">
        <v>199.23619481023738</v>
      </c>
      <c r="H6" s="284">
        <v>198.98969226214257</v>
      </c>
      <c r="I6" s="284">
        <v>203.03710979545735</v>
      </c>
      <c r="J6" s="284">
        <v>213.6011947352049</v>
      </c>
      <c r="K6" s="284">
        <v>222.9624521979369</v>
      </c>
      <c r="L6" s="284">
        <v>230.28610693571997</v>
      </c>
      <c r="M6" s="284">
        <v>237.21591861309579</v>
      </c>
      <c r="N6" s="284">
        <v>243.20398427340473</v>
      </c>
      <c r="O6" s="284">
        <v>249.19204993371366</v>
      </c>
      <c r="P6" s="284">
        <v>255.1801155940226</v>
      </c>
      <c r="Q6" s="284">
        <v>261.1681812543315</v>
      </c>
      <c r="R6" s="284">
        <v>267.15624691464046</v>
      </c>
      <c r="S6" s="284">
        <v>273.14431257494931</v>
      </c>
    </row>
    <row r="7" spans="3:19" x14ac:dyDescent="0.25">
      <c r="C7" s="288" t="s">
        <v>239</v>
      </c>
      <c r="D7" s="289" t="s">
        <v>371</v>
      </c>
      <c r="E7" s="288" t="s">
        <v>429</v>
      </c>
      <c r="F7" s="284">
        <v>44.530820022857142</v>
      </c>
      <c r="G7" s="284">
        <v>45.006993785812064</v>
      </c>
      <c r="H7" s="284">
        <v>44.854363848079615</v>
      </c>
      <c r="I7" s="284">
        <v>45.587074313273092</v>
      </c>
      <c r="J7" s="284">
        <v>47.409669920701653</v>
      </c>
      <c r="K7" s="284">
        <v>47.20741207757581</v>
      </c>
      <c r="L7" s="284">
        <v>48.398249478875393</v>
      </c>
      <c r="M7" s="284">
        <v>49.813922624222812</v>
      </c>
      <c r="N7" s="284">
        <v>50.665604797954018</v>
      </c>
      <c r="O7" s="284">
        <v>51.904499859091423</v>
      </c>
      <c r="P7" s="284">
        <v>53.143394920228829</v>
      </c>
      <c r="Q7" s="284">
        <v>54.382289981366235</v>
      </c>
      <c r="R7" s="284">
        <v>55.62118504250364</v>
      </c>
      <c r="S7" s="284">
        <v>56.860080103641046</v>
      </c>
    </row>
    <row r="8" spans="3:19" x14ac:dyDescent="0.25">
      <c r="C8" s="285" t="s">
        <v>591</v>
      </c>
      <c r="D8" s="286" t="s">
        <v>430</v>
      </c>
      <c r="E8" s="287"/>
      <c r="F8" s="270"/>
      <c r="G8" s="270"/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3"/>
    </row>
    <row r="9" spans="3:19" ht="39" x14ac:dyDescent="0.25">
      <c r="C9" s="288" t="s">
        <v>257</v>
      </c>
      <c r="D9" s="289" t="s">
        <v>431</v>
      </c>
      <c r="E9" s="288" t="s">
        <v>120</v>
      </c>
      <c r="F9" s="276">
        <v>0</v>
      </c>
      <c r="G9" s="276">
        <v>0</v>
      </c>
      <c r="H9" s="276">
        <v>0</v>
      </c>
      <c r="I9" s="276">
        <v>0</v>
      </c>
      <c r="J9" s="276">
        <v>0</v>
      </c>
      <c r="K9" s="276">
        <v>0</v>
      </c>
      <c r="L9" s="276">
        <v>0</v>
      </c>
      <c r="M9" s="276">
        <v>0</v>
      </c>
      <c r="N9" s="276">
        <v>0</v>
      </c>
      <c r="O9" s="276">
        <v>0</v>
      </c>
      <c r="P9" s="276">
        <v>0</v>
      </c>
      <c r="Q9" s="276">
        <v>0</v>
      </c>
      <c r="R9" s="276">
        <v>0</v>
      </c>
      <c r="S9" s="276">
        <v>0</v>
      </c>
    </row>
    <row r="10" spans="3:19" ht="51.75" x14ac:dyDescent="0.25">
      <c r="C10" s="288" t="s">
        <v>258</v>
      </c>
      <c r="D10" s="289" t="s">
        <v>432</v>
      </c>
      <c r="E10" s="288" t="s">
        <v>433</v>
      </c>
      <c r="F10" s="276">
        <v>0</v>
      </c>
      <c r="G10" s="276">
        <v>0</v>
      </c>
      <c r="H10" s="276">
        <v>0</v>
      </c>
      <c r="I10" s="276">
        <v>0</v>
      </c>
      <c r="J10" s="276">
        <v>0</v>
      </c>
      <c r="K10" s="276">
        <v>0</v>
      </c>
      <c r="L10" s="276">
        <v>0</v>
      </c>
      <c r="M10" s="276">
        <v>0</v>
      </c>
      <c r="N10" s="276">
        <v>0</v>
      </c>
      <c r="O10" s="276">
        <v>0</v>
      </c>
      <c r="P10" s="276">
        <v>0</v>
      </c>
      <c r="Q10" s="276">
        <v>0</v>
      </c>
      <c r="R10" s="276">
        <v>0</v>
      </c>
      <c r="S10" s="276">
        <v>0</v>
      </c>
    </row>
    <row r="11" spans="3:19" ht="26.25" x14ac:dyDescent="0.25">
      <c r="C11" s="285" t="s">
        <v>592</v>
      </c>
      <c r="D11" s="286" t="s">
        <v>434</v>
      </c>
      <c r="E11" s="287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3"/>
    </row>
    <row r="12" spans="3:19" x14ac:dyDescent="0.25">
      <c r="C12" s="285" t="s">
        <v>260</v>
      </c>
      <c r="D12" s="290" t="s">
        <v>855</v>
      </c>
      <c r="E12" s="287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2"/>
    </row>
    <row r="13" spans="3:19" ht="39" x14ac:dyDescent="0.25">
      <c r="C13" s="288" t="s">
        <v>856</v>
      </c>
      <c r="D13" s="291" t="s">
        <v>435</v>
      </c>
      <c r="E13" s="288" t="s">
        <v>436</v>
      </c>
      <c r="F13" s="277">
        <v>156.7015950136097</v>
      </c>
      <c r="G13" s="277">
        <v>158.68</v>
      </c>
      <c r="H13" s="277">
        <v>158.68</v>
      </c>
      <c r="I13" s="277">
        <v>158.68</v>
      </c>
      <c r="J13" s="278">
        <v>0</v>
      </c>
      <c r="K13" s="278">
        <v>0</v>
      </c>
      <c r="L13" s="278">
        <v>0</v>
      </c>
      <c r="M13" s="278">
        <v>0</v>
      </c>
      <c r="N13" s="278">
        <v>0</v>
      </c>
      <c r="O13" s="278">
        <v>0</v>
      </c>
      <c r="P13" s="278">
        <v>0</v>
      </c>
      <c r="Q13" s="278">
        <v>0</v>
      </c>
      <c r="R13" s="278">
        <v>0</v>
      </c>
      <c r="S13" s="278">
        <v>0</v>
      </c>
    </row>
    <row r="14" spans="3:19" ht="39" x14ac:dyDescent="0.25">
      <c r="C14" s="288" t="s">
        <v>857</v>
      </c>
      <c r="D14" s="292" t="s">
        <v>437</v>
      </c>
      <c r="E14" s="288" t="s">
        <v>858</v>
      </c>
      <c r="F14" s="278">
        <v>1.6071833373180373</v>
      </c>
      <c r="G14" s="278">
        <v>1.5998990013529084</v>
      </c>
      <c r="H14" s="278">
        <v>1.5998990013529084</v>
      </c>
      <c r="I14" s="278">
        <v>1.5998990013529084</v>
      </c>
      <c r="J14" s="278">
        <v>0</v>
      </c>
      <c r="K14" s="278">
        <v>0</v>
      </c>
      <c r="L14" s="278">
        <v>0</v>
      </c>
      <c r="M14" s="278">
        <v>0</v>
      </c>
      <c r="N14" s="278">
        <v>0</v>
      </c>
      <c r="O14" s="278">
        <v>0</v>
      </c>
      <c r="P14" s="278">
        <v>0</v>
      </c>
      <c r="Q14" s="278">
        <v>0</v>
      </c>
      <c r="R14" s="278">
        <v>0</v>
      </c>
      <c r="S14" s="278">
        <v>0</v>
      </c>
    </row>
    <row r="15" spans="3:19" ht="39" x14ac:dyDescent="0.25">
      <c r="C15" s="288" t="s">
        <v>859</v>
      </c>
      <c r="D15" s="293" t="s">
        <v>438</v>
      </c>
      <c r="E15" s="288" t="s">
        <v>91</v>
      </c>
      <c r="F15" s="279">
        <v>1293.1783999999998</v>
      </c>
      <c r="G15" s="279">
        <v>1287.3172479399198</v>
      </c>
      <c r="H15" s="279">
        <v>1287.3172479399198</v>
      </c>
      <c r="I15" s="279">
        <v>1287.3172479399198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279">
        <v>0</v>
      </c>
      <c r="P15" s="279">
        <v>0</v>
      </c>
      <c r="Q15" s="279">
        <v>0</v>
      </c>
      <c r="R15" s="279">
        <v>0</v>
      </c>
      <c r="S15" s="279">
        <v>0</v>
      </c>
    </row>
    <row r="16" spans="3:19" x14ac:dyDescent="0.25">
      <c r="C16" s="288" t="s">
        <v>860</v>
      </c>
      <c r="D16" s="294" t="s">
        <v>439</v>
      </c>
      <c r="E16" s="288" t="s">
        <v>122</v>
      </c>
      <c r="F16" s="280">
        <v>0.10484815184938297</v>
      </c>
      <c r="G16" s="280">
        <v>0.10484815184938297</v>
      </c>
      <c r="H16" s="280">
        <v>0.10484815184938297</v>
      </c>
      <c r="I16" s="280">
        <v>0.10484815184938297</v>
      </c>
      <c r="J16" s="280">
        <v>0</v>
      </c>
      <c r="K16" s="280">
        <v>0</v>
      </c>
      <c r="L16" s="280">
        <v>0</v>
      </c>
      <c r="M16" s="280">
        <v>0</v>
      </c>
      <c r="N16" s="280">
        <v>0</v>
      </c>
      <c r="O16" s="280">
        <v>0</v>
      </c>
      <c r="P16" s="280">
        <v>0</v>
      </c>
      <c r="Q16" s="280">
        <v>0</v>
      </c>
      <c r="R16" s="280">
        <v>0</v>
      </c>
      <c r="S16" s="280">
        <v>0</v>
      </c>
    </row>
    <row r="17" spans="1:21" ht="26.25" x14ac:dyDescent="0.25">
      <c r="C17" s="288" t="s">
        <v>861</v>
      </c>
      <c r="D17" s="295" t="s">
        <v>862</v>
      </c>
      <c r="E17" s="288" t="s">
        <v>118</v>
      </c>
      <c r="F17" s="281">
        <v>2.7356925015158398</v>
      </c>
      <c r="G17" s="281">
        <v>2.7356925015158398</v>
      </c>
      <c r="H17" s="281">
        <v>2.7356925015158398</v>
      </c>
      <c r="I17" s="281">
        <v>2.7356925015158398</v>
      </c>
      <c r="J17" s="281">
        <v>0</v>
      </c>
      <c r="K17" s="281">
        <v>0</v>
      </c>
      <c r="L17" s="281">
        <v>0</v>
      </c>
      <c r="M17" s="281">
        <v>0</v>
      </c>
      <c r="N17" s="281">
        <v>0</v>
      </c>
      <c r="O17" s="281">
        <v>0</v>
      </c>
      <c r="P17" s="281">
        <v>0</v>
      </c>
      <c r="Q17" s="281">
        <v>0</v>
      </c>
      <c r="R17" s="281">
        <v>0</v>
      </c>
      <c r="S17" s="281">
        <v>0</v>
      </c>
    </row>
    <row r="18" spans="1:21" ht="26.25" x14ac:dyDescent="0.25">
      <c r="C18" s="288" t="s">
        <v>863</v>
      </c>
      <c r="D18" s="296" t="s">
        <v>864</v>
      </c>
      <c r="E18" s="288" t="s">
        <v>122</v>
      </c>
      <c r="F18" s="282">
        <v>0.3446552691463427</v>
      </c>
      <c r="G18" s="282">
        <v>0.3446552691463427</v>
      </c>
      <c r="H18" s="282">
        <v>0.3446552691463427</v>
      </c>
      <c r="I18" s="282">
        <v>0.3446552691463427</v>
      </c>
      <c r="J18" s="282">
        <v>0</v>
      </c>
      <c r="K18" s="282">
        <v>0</v>
      </c>
      <c r="L18" s="282">
        <v>0</v>
      </c>
      <c r="M18" s="282">
        <v>0</v>
      </c>
      <c r="N18" s="282">
        <v>0</v>
      </c>
      <c r="O18" s="282">
        <v>0</v>
      </c>
      <c r="P18" s="282">
        <v>0</v>
      </c>
      <c r="Q18" s="282">
        <v>0</v>
      </c>
      <c r="R18" s="282">
        <v>0</v>
      </c>
      <c r="S18" s="282">
        <v>0</v>
      </c>
    </row>
    <row r="19" spans="1:21" x14ac:dyDescent="0.25">
      <c r="C19" s="285" t="s">
        <v>261</v>
      </c>
      <c r="D19" s="290" t="s">
        <v>865</v>
      </c>
      <c r="E19" s="287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2"/>
    </row>
    <row r="20" spans="1:21" ht="39" x14ac:dyDescent="0.25">
      <c r="C20" s="288" t="s">
        <v>866</v>
      </c>
      <c r="D20" s="291" t="s">
        <v>435</v>
      </c>
      <c r="E20" s="288" t="s">
        <v>436</v>
      </c>
      <c r="F20" s="277">
        <v>140.55487318571005</v>
      </c>
      <c r="G20" s="277">
        <v>156.66999999999999</v>
      </c>
      <c r="H20" s="277">
        <v>156.66999999999999</v>
      </c>
      <c r="I20" s="277">
        <v>156.66999999999999</v>
      </c>
      <c r="J20" s="278">
        <v>0</v>
      </c>
      <c r="K20" s="278">
        <v>0</v>
      </c>
      <c r="L20" s="278">
        <v>0</v>
      </c>
      <c r="M20" s="278">
        <v>0</v>
      </c>
      <c r="N20" s="278">
        <v>0</v>
      </c>
      <c r="O20" s="278">
        <v>0</v>
      </c>
      <c r="P20" s="278">
        <v>0</v>
      </c>
      <c r="Q20" s="278">
        <v>0</v>
      </c>
      <c r="R20" s="278">
        <v>0</v>
      </c>
      <c r="S20" s="278">
        <v>0</v>
      </c>
    </row>
    <row r="21" spans="1:21" ht="39" x14ac:dyDescent="0.25">
      <c r="A21" s="7"/>
      <c r="C21" s="288" t="s">
        <v>867</v>
      </c>
      <c r="D21" s="292" t="s">
        <v>437</v>
      </c>
      <c r="E21" s="288" t="s">
        <v>858</v>
      </c>
      <c r="F21" s="278">
        <v>5.5580162631755163</v>
      </c>
      <c r="G21" s="278">
        <v>5.6200781619345674</v>
      </c>
      <c r="H21" s="278">
        <v>5.6598989643332391</v>
      </c>
      <c r="I21" s="278">
        <v>5.7678821576762074</v>
      </c>
      <c r="J21" s="278">
        <v>0</v>
      </c>
      <c r="K21" s="278">
        <v>0</v>
      </c>
      <c r="L21" s="278">
        <v>0</v>
      </c>
      <c r="M21" s="278">
        <v>0</v>
      </c>
      <c r="N21" s="278">
        <v>0</v>
      </c>
      <c r="O21" s="278">
        <v>0</v>
      </c>
      <c r="P21" s="278">
        <v>0</v>
      </c>
      <c r="Q21" s="278">
        <v>0</v>
      </c>
      <c r="R21" s="278">
        <v>0</v>
      </c>
      <c r="S21" s="278">
        <v>0</v>
      </c>
    </row>
    <row r="22" spans="1:21" ht="39" x14ac:dyDescent="0.25">
      <c r="A22" s="7"/>
      <c r="C22" s="288" t="s">
        <v>868</v>
      </c>
      <c r="D22" s="293" t="s">
        <v>438</v>
      </c>
      <c r="E22" s="288" t="s">
        <v>91</v>
      </c>
      <c r="F22" s="279">
        <v>8795.6820000000007</v>
      </c>
      <c r="G22" s="279">
        <v>8893.8963088384789</v>
      </c>
      <c r="H22" s="279">
        <v>8956.9135974355158</v>
      </c>
      <c r="I22" s="279">
        <v>9127.799356853322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9">
        <v>0</v>
      </c>
      <c r="P22" s="279">
        <v>0</v>
      </c>
      <c r="Q22" s="279">
        <v>0</v>
      </c>
      <c r="R22" s="279">
        <v>0</v>
      </c>
      <c r="S22" s="279">
        <v>0</v>
      </c>
    </row>
    <row r="23" spans="1:21" x14ac:dyDescent="0.25">
      <c r="A23" s="7"/>
      <c r="C23" s="288" t="s">
        <v>869</v>
      </c>
      <c r="D23" s="294" t="s">
        <v>439</v>
      </c>
      <c r="E23" s="288" t="s">
        <v>122</v>
      </c>
      <c r="F23" s="280">
        <v>0.40979440305715081</v>
      </c>
      <c r="G23" s="280">
        <v>0.40831704448289735</v>
      </c>
      <c r="H23" s="280">
        <v>0.4085690754348088</v>
      </c>
      <c r="I23" s="280">
        <v>0.40698349067197298</v>
      </c>
      <c r="J23" s="280">
        <v>0</v>
      </c>
      <c r="K23" s="280">
        <v>0</v>
      </c>
      <c r="L23" s="280">
        <v>0</v>
      </c>
      <c r="M23" s="280"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</row>
    <row r="24" spans="1:21" ht="26.25" x14ac:dyDescent="0.25">
      <c r="C24" s="288" t="s">
        <v>870</v>
      </c>
      <c r="D24" s="295" t="s">
        <v>862</v>
      </c>
      <c r="E24" s="288" t="s">
        <v>118</v>
      </c>
      <c r="F24" s="281">
        <v>3.3643591173757414</v>
      </c>
      <c r="G24" s="281">
        <v>3.2199583917741563</v>
      </c>
      <c r="H24" s="281">
        <v>3.1452118654470365</v>
      </c>
      <c r="I24" s="281">
        <v>2.9593992088814236</v>
      </c>
      <c r="J24" s="281">
        <v>0</v>
      </c>
      <c r="K24" s="281">
        <v>0</v>
      </c>
      <c r="L24" s="281">
        <v>0</v>
      </c>
      <c r="M24" s="281">
        <v>0</v>
      </c>
      <c r="N24" s="281">
        <v>0</v>
      </c>
      <c r="O24" s="281">
        <v>0</v>
      </c>
      <c r="P24" s="281">
        <v>0</v>
      </c>
      <c r="Q24" s="281">
        <v>0</v>
      </c>
      <c r="R24" s="281">
        <v>0</v>
      </c>
      <c r="S24" s="281">
        <v>0</v>
      </c>
    </row>
    <row r="25" spans="1:21" ht="26.25" x14ac:dyDescent="0.25">
      <c r="C25" s="288" t="s">
        <v>871</v>
      </c>
      <c r="D25" s="296" t="s">
        <v>864</v>
      </c>
      <c r="E25" s="288" t="s">
        <v>122</v>
      </c>
      <c r="F25" s="282">
        <v>0.24907205104256486</v>
      </c>
      <c r="G25" s="282">
        <v>0.23838169854366884</v>
      </c>
      <c r="H25" s="282">
        <v>0.23284802334102739</v>
      </c>
      <c r="I25" s="282">
        <v>0.21909184040519245</v>
      </c>
      <c r="J25" s="282">
        <v>0</v>
      </c>
      <c r="K25" s="282">
        <v>0</v>
      </c>
      <c r="L25" s="282">
        <v>0</v>
      </c>
      <c r="M25" s="282">
        <v>0</v>
      </c>
      <c r="N25" s="282">
        <v>0</v>
      </c>
      <c r="O25" s="282">
        <v>0</v>
      </c>
      <c r="P25" s="282">
        <v>0</v>
      </c>
      <c r="Q25" s="282">
        <v>0</v>
      </c>
      <c r="R25" s="282">
        <v>0</v>
      </c>
      <c r="S25" s="282">
        <v>0</v>
      </c>
    </row>
    <row r="26" spans="1:21" x14ac:dyDescent="0.25">
      <c r="C26" s="285" t="s">
        <v>262</v>
      </c>
      <c r="D26" s="290" t="s">
        <v>872</v>
      </c>
      <c r="E26" s="287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2"/>
    </row>
    <row r="27" spans="1:21" ht="39" x14ac:dyDescent="0.25">
      <c r="C27" s="288" t="s">
        <v>873</v>
      </c>
      <c r="D27" s="291" t="s">
        <v>435</v>
      </c>
      <c r="E27" s="288" t="s">
        <v>436</v>
      </c>
      <c r="F27" s="277">
        <v>183.22172361666566</v>
      </c>
      <c r="G27" s="277">
        <v>188.98</v>
      </c>
      <c r="H27" s="277">
        <v>188.98</v>
      </c>
      <c r="I27" s="277">
        <v>188.98</v>
      </c>
      <c r="J27" s="277">
        <v>188.98</v>
      </c>
      <c r="K27" s="283">
        <v>0</v>
      </c>
      <c r="L27" s="283">
        <v>0</v>
      </c>
      <c r="M27" s="283">
        <v>0</v>
      </c>
      <c r="N27" s="283">
        <v>0</v>
      </c>
      <c r="O27" s="283">
        <v>0</v>
      </c>
      <c r="P27" s="283">
        <v>0</v>
      </c>
      <c r="Q27" s="283">
        <v>0</v>
      </c>
      <c r="R27" s="283">
        <v>0</v>
      </c>
      <c r="S27" s="283">
        <v>0</v>
      </c>
      <c r="U27"/>
    </row>
    <row r="28" spans="1:21" ht="39" x14ac:dyDescent="0.25">
      <c r="C28" s="288" t="s">
        <v>874</v>
      </c>
      <c r="D28" s="292" t="s">
        <v>437</v>
      </c>
      <c r="E28" s="288" t="s">
        <v>858</v>
      </c>
      <c r="F28" s="278">
        <v>3.9484816245912566</v>
      </c>
      <c r="G28" s="278">
        <v>3.8959571569796649</v>
      </c>
      <c r="H28" s="278">
        <v>3.7504987487454926</v>
      </c>
      <c r="I28" s="278">
        <v>3.7324061129238992</v>
      </c>
      <c r="J28" s="278">
        <v>3.7427617827916042</v>
      </c>
      <c r="K28" s="278">
        <v>0</v>
      </c>
      <c r="L28" s="278">
        <v>0</v>
      </c>
      <c r="M28" s="278">
        <v>0</v>
      </c>
      <c r="N28" s="278">
        <v>0</v>
      </c>
      <c r="O28" s="278">
        <v>0</v>
      </c>
      <c r="P28" s="278">
        <v>0</v>
      </c>
      <c r="Q28" s="278">
        <v>0</v>
      </c>
      <c r="R28" s="278">
        <v>0</v>
      </c>
      <c r="S28" s="278">
        <v>0</v>
      </c>
      <c r="U28"/>
    </row>
    <row r="29" spans="1:21" ht="39" x14ac:dyDescent="0.25">
      <c r="C29" s="288" t="s">
        <v>875</v>
      </c>
      <c r="D29" s="293" t="s">
        <v>438</v>
      </c>
      <c r="E29" s="288" t="s">
        <v>91</v>
      </c>
      <c r="F29" s="279">
        <v>4209.5987000000005</v>
      </c>
      <c r="G29" s="279">
        <v>4153.6007363273602</v>
      </c>
      <c r="H29" s="279">
        <v>3998.5230167317859</v>
      </c>
      <c r="I29" s="279">
        <v>3979.2338966407087</v>
      </c>
      <c r="J29" s="279">
        <v>3990.2743974097184</v>
      </c>
      <c r="K29" s="279">
        <v>0</v>
      </c>
      <c r="L29" s="279">
        <v>0</v>
      </c>
      <c r="M29" s="279">
        <v>0</v>
      </c>
      <c r="N29" s="279">
        <v>0</v>
      </c>
      <c r="O29" s="279">
        <v>0</v>
      </c>
      <c r="P29" s="279">
        <v>0</v>
      </c>
      <c r="Q29" s="279">
        <v>0</v>
      </c>
      <c r="R29" s="279">
        <v>0</v>
      </c>
      <c r="S29" s="279">
        <v>0</v>
      </c>
      <c r="U29"/>
    </row>
    <row r="30" spans="1:21" x14ac:dyDescent="0.25">
      <c r="C30" s="288" t="s">
        <v>876</v>
      </c>
      <c r="D30" s="294" t="s">
        <v>439</v>
      </c>
      <c r="E30" s="288" t="s">
        <v>122</v>
      </c>
      <c r="F30" s="280">
        <v>0.42555031099320556</v>
      </c>
      <c r="G30" s="280">
        <v>0.43283473176695775</v>
      </c>
      <c r="H30" s="280">
        <v>0.44067162796786996</v>
      </c>
      <c r="I30" s="280">
        <v>0.44484429518671964</v>
      </c>
      <c r="J30" s="280">
        <v>0.44244143970678568</v>
      </c>
      <c r="K30" s="280">
        <v>0</v>
      </c>
      <c r="L30" s="280">
        <v>0</v>
      </c>
      <c r="M30" s="280">
        <v>0</v>
      </c>
      <c r="N30" s="280">
        <v>0</v>
      </c>
      <c r="O30" s="280">
        <v>0</v>
      </c>
      <c r="P30" s="280">
        <v>0</v>
      </c>
      <c r="Q30" s="280">
        <v>0</v>
      </c>
      <c r="R30" s="280">
        <v>0</v>
      </c>
      <c r="S30" s="280">
        <v>0</v>
      </c>
      <c r="U30"/>
    </row>
    <row r="31" spans="1:21" ht="26.25" x14ac:dyDescent="0.25">
      <c r="C31" s="288" t="s">
        <v>877</v>
      </c>
      <c r="D31" s="295" t="s">
        <v>862</v>
      </c>
      <c r="E31" s="288" t="s">
        <v>118</v>
      </c>
      <c r="F31" s="281">
        <v>2.0800196343664874</v>
      </c>
      <c r="G31" s="281">
        <v>2.1000809786216248</v>
      </c>
      <c r="H31" s="281">
        <v>2.2591683760702415</v>
      </c>
      <c r="I31" s="281">
        <v>2.2684913942134024</v>
      </c>
      <c r="J31" s="281">
        <v>2.2631871522808575</v>
      </c>
      <c r="K31" s="281">
        <v>0</v>
      </c>
      <c r="L31" s="281">
        <v>0</v>
      </c>
      <c r="M31" s="281">
        <v>0</v>
      </c>
      <c r="N31" s="281">
        <v>0</v>
      </c>
      <c r="O31" s="281">
        <v>0</v>
      </c>
      <c r="P31" s="281">
        <v>0</v>
      </c>
      <c r="Q31" s="281">
        <v>0</v>
      </c>
      <c r="R31" s="281">
        <v>0</v>
      </c>
      <c r="S31" s="281">
        <v>0</v>
      </c>
      <c r="U31"/>
    </row>
    <row r="32" spans="1:21" ht="26.25" x14ac:dyDescent="0.25">
      <c r="C32" s="288" t="s">
        <v>878</v>
      </c>
      <c r="D32" s="296" t="s">
        <v>864</v>
      </c>
      <c r="E32" s="288" t="s">
        <v>122</v>
      </c>
      <c r="F32" s="282">
        <v>0.29459348935219509</v>
      </c>
      <c r="G32" s="282">
        <v>0.29743478051482225</v>
      </c>
      <c r="H32" s="282">
        <v>0.31996635221348152</v>
      </c>
      <c r="I32" s="282">
        <v>0.32128677265601452</v>
      </c>
      <c r="J32" s="282">
        <v>0.32053553208431074</v>
      </c>
      <c r="K32" s="282">
        <v>0</v>
      </c>
      <c r="L32" s="282">
        <v>0</v>
      </c>
      <c r="M32" s="282">
        <v>0</v>
      </c>
      <c r="N32" s="282">
        <v>0</v>
      </c>
      <c r="O32" s="282">
        <v>0</v>
      </c>
      <c r="P32" s="282">
        <v>0</v>
      </c>
      <c r="Q32" s="282">
        <v>0</v>
      </c>
      <c r="R32" s="282">
        <v>0</v>
      </c>
      <c r="S32" s="282">
        <v>0</v>
      </c>
      <c r="U32"/>
    </row>
    <row r="33" spans="3:21" x14ac:dyDescent="0.25">
      <c r="C33" s="285" t="s">
        <v>1015</v>
      </c>
      <c r="D33" s="290" t="s">
        <v>879</v>
      </c>
      <c r="E33" s="287"/>
      <c r="F33" s="271"/>
      <c r="G33" s="271"/>
      <c r="H33" s="271"/>
      <c r="I33" s="271"/>
      <c r="J33" s="271"/>
      <c r="K33" s="271"/>
      <c r="L33" s="271"/>
      <c r="M33" s="271"/>
      <c r="N33" s="271"/>
      <c r="O33" s="271"/>
      <c r="P33" s="271"/>
      <c r="Q33" s="271"/>
      <c r="R33" s="271"/>
      <c r="S33" s="272"/>
      <c r="U33"/>
    </row>
    <row r="34" spans="3:21" ht="39" x14ac:dyDescent="0.25">
      <c r="C34" s="288" t="s">
        <v>880</v>
      </c>
      <c r="D34" s="291" t="s">
        <v>435</v>
      </c>
      <c r="E34" s="288" t="s">
        <v>436</v>
      </c>
      <c r="F34" s="283">
        <v>174.43684628449444</v>
      </c>
      <c r="G34" s="283">
        <v>187.54</v>
      </c>
      <c r="H34" s="283">
        <v>187.54</v>
      </c>
      <c r="I34" s="283">
        <v>187.54</v>
      </c>
      <c r="J34" s="283">
        <v>187.54</v>
      </c>
      <c r="K34" s="283">
        <v>0</v>
      </c>
      <c r="L34" s="283">
        <v>0</v>
      </c>
      <c r="M34" s="283">
        <v>0</v>
      </c>
      <c r="N34" s="283">
        <v>0</v>
      </c>
      <c r="O34" s="283">
        <v>0</v>
      </c>
      <c r="P34" s="283">
        <v>0</v>
      </c>
      <c r="Q34" s="283">
        <v>0</v>
      </c>
      <c r="R34" s="283">
        <v>0</v>
      </c>
      <c r="S34" s="283">
        <v>0</v>
      </c>
      <c r="U34"/>
    </row>
    <row r="35" spans="3:21" ht="39" x14ac:dyDescent="0.25">
      <c r="C35" s="288" t="s">
        <v>881</v>
      </c>
      <c r="D35" s="292" t="s">
        <v>437</v>
      </c>
      <c r="E35" s="288" t="s">
        <v>858</v>
      </c>
      <c r="F35" s="278">
        <v>1.6256126832818649</v>
      </c>
      <c r="G35" s="278">
        <v>1.6171597294004647</v>
      </c>
      <c r="H35" s="278">
        <v>1.6080985469206213</v>
      </c>
      <c r="I35" s="278">
        <v>1.6064886405811525</v>
      </c>
      <c r="J35" s="278">
        <v>1.6090455537025434</v>
      </c>
      <c r="K35" s="278">
        <v>0</v>
      </c>
      <c r="L35" s="278">
        <v>0</v>
      </c>
      <c r="M35" s="278">
        <v>0</v>
      </c>
      <c r="N35" s="278">
        <v>0</v>
      </c>
      <c r="O35" s="278">
        <v>0</v>
      </c>
      <c r="P35" s="278">
        <v>0</v>
      </c>
      <c r="Q35" s="278">
        <v>0</v>
      </c>
      <c r="R35" s="278">
        <v>0</v>
      </c>
      <c r="S35" s="278">
        <v>0</v>
      </c>
      <c r="U35"/>
    </row>
    <row r="36" spans="3:21" ht="39" x14ac:dyDescent="0.25">
      <c r="C36" s="288" t="s">
        <v>882</v>
      </c>
      <c r="D36" s="293" t="s">
        <v>438</v>
      </c>
      <c r="E36" s="288" t="s">
        <v>91</v>
      </c>
      <c r="F36" s="279">
        <v>973.2337</v>
      </c>
      <c r="G36" s="279">
        <v>968.17302369836329</v>
      </c>
      <c r="H36" s="279">
        <v>962.74820864744379</v>
      </c>
      <c r="I36" s="279">
        <v>961.78437813632127</v>
      </c>
      <c r="J36" s="279">
        <v>963.31516959931969</v>
      </c>
      <c r="K36" s="279">
        <v>0</v>
      </c>
      <c r="L36" s="279">
        <v>0</v>
      </c>
      <c r="M36" s="279">
        <v>0</v>
      </c>
      <c r="N36" s="279">
        <v>0</v>
      </c>
      <c r="O36" s="279">
        <v>0</v>
      </c>
      <c r="P36" s="279">
        <v>0</v>
      </c>
      <c r="Q36" s="279">
        <v>0</v>
      </c>
      <c r="R36" s="279">
        <v>0</v>
      </c>
      <c r="S36" s="279">
        <v>0</v>
      </c>
      <c r="U36"/>
    </row>
    <row r="37" spans="3:21" x14ac:dyDescent="0.25">
      <c r="C37" s="288" t="s">
        <v>883</v>
      </c>
      <c r="D37" s="294" t="s">
        <v>439</v>
      </c>
      <c r="E37" s="288" t="s">
        <v>122</v>
      </c>
      <c r="F37" s="280">
        <v>9.5778375725655757E-2</v>
      </c>
      <c r="G37" s="280">
        <v>9.5806587099513091E-2</v>
      </c>
      <c r="H37" s="280">
        <v>9.6110795964047563E-2</v>
      </c>
      <c r="I37" s="280">
        <v>9.6264141258315949E-2</v>
      </c>
      <c r="J37" s="280">
        <v>9.6210962124923527E-2</v>
      </c>
      <c r="K37" s="280">
        <v>0</v>
      </c>
      <c r="L37" s="280">
        <v>0</v>
      </c>
      <c r="M37" s="280">
        <v>0</v>
      </c>
      <c r="N37" s="280">
        <v>0</v>
      </c>
      <c r="O37" s="280">
        <v>0</v>
      </c>
      <c r="P37" s="280">
        <v>0</v>
      </c>
      <c r="Q37" s="280">
        <v>0</v>
      </c>
      <c r="R37" s="280">
        <v>0</v>
      </c>
      <c r="S37" s="280">
        <v>0</v>
      </c>
      <c r="U37"/>
    </row>
    <row r="38" spans="3:21" ht="26.25" x14ac:dyDescent="0.25">
      <c r="C38" s="288" t="s">
        <v>884</v>
      </c>
      <c r="D38" s="295" t="s">
        <v>862</v>
      </c>
      <c r="E38" s="288" t="s">
        <v>118</v>
      </c>
      <c r="F38" s="281">
        <v>1.9598989156838744</v>
      </c>
      <c r="G38" s="281">
        <v>1.9632762098794654</v>
      </c>
      <c r="H38" s="281">
        <v>1.9847535505882981</v>
      </c>
      <c r="I38" s="281">
        <v>1.9882078333346227</v>
      </c>
      <c r="J38" s="281">
        <v>1.9820252392761057</v>
      </c>
      <c r="K38" s="281">
        <v>0</v>
      </c>
      <c r="L38" s="281">
        <v>0</v>
      </c>
      <c r="M38" s="281">
        <v>0</v>
      </c>
      <c r="N38" s="281">
        <v>0</v>
      </c>
      <c r="O38" s="281">
        <v>0</v>
      </c>
      <c r="P38" s="281">
        <v>0</v>
      </c>
      <c r="Q38" s="281">
        <v>0</v>
      </c>
      <c r="R38" s="281">
        <v>0</v>
      </c>
      <c r="S38" s="281">
        <v>0</v>
      </c>
      <c r="U38"/>
    </row>
    <row r="39" spans="3:21" ht="26.25" x14ac:dyDescent="0.25">
      <c r="C39" s="288" t="s">
        <v>885</v>
      </c>
      <c r="D39" s="296" t="s">
        <v>864</v>
      </c>
      <c r="E39" s="288" t="s">
        <v>122</v>
      </c>
      <c r="F39" s="282">
        <v>0.32692240288212709</v>
      </c>
      <c r="G39" s="282">
        <v>0.32748575496361809</v>
      </c>
      <c r="H39" s="282">
        <v>0.33106829882639671</v>
      </c>
      <c r="I39" s="282">
        <v>0.33164449304061139</v>
      </c>
      <c r="J39" s="282">
        <v>0.33061320081962975</v>
      </c>
      <c r="K39" s="282">
        <v>0</v>
      </c>
      <c r="L39" s="282">
        <v>0</v>
      </c>
      <c r="M39" s="282">
        <v>0</v>
      </c>
      <c r="N39" s="282">
        <v>0</v>
      </c>
      <c r="O39" s="282">
        <v>0</v>
      </c>
      <c r="P39" s="282">
        <v>0</v>
      </c>
      <c r="Q39" s="282">
        <v>0</v>
      </c>
      <c r="R39" s="282">
        <v>0</v>
      </c>
      <c r="S39" s="282">
        <v>0</v>
      </c>
      <c r="U39"/>
    </row>
    <row r="40" spans="3:21" x14ac:dyDescent="0.25">
      <c r="C40" s="285" t="s">
        <v>1016</v>
      </c>
      <c r="D40" s="290" t="s">
        <v>886</v>
      </c>
      <c r="E40" s="287"/>
      <c r="F40" s="271"/>
      <c r="G40" s="271"/>
      <c r="H40" s="271"/>
      <c r="I40" s="271"/>
      <c r="J40" s="271"/>
      <c r="K40" s="271"/>
      <c r="L40" s="271"/>
      <c r="M40" s="271"/>
      <c r="N40" s="271"/>
      <c r="O40" s="271"/>
      <c r="P40" s="271"/>
      <c r="Q40" s="271"/>
      <c r="R40" s="271"/>
      <c r="S40" s="272"/>
      <c r="U40"/>
    </row>
    <row r="41" spans="3:21" ht="39" x14ac:dyDescent="0.25">
      <c r="C41" s="288" t="s">
        <v>887</v>
      </c>
      <c r="D41" s="291" t="s">
        <v>435</v>
      </c>
      <c r="E41" s="288" t="s">
        <v>436</v>
      </c>
      <c r="F41" s="283">
        <v>167.9412392398323</v>
      </c>
      <c r="G41" s="283">
        <v>171.46</v>
      </c>
      <c r="H41" s="283">
        <v>171.46</v>
      </c>
      <c r="I41" s="283">
        <v>171.46</v>
      </c>
      <c r="J41" s="283">
        <v>171.46</v>
      </c>
      <c r="K41" s="283">
        <v>0</v>
      </c>
      <c r="L41" s="283">
        <v>0</v>
      </c>
      <c r="M41" s="283">
        <v>0</v>
      </c>
      <c r="N41" s="283">
        <v>0</v>
      </c>
      <c r="O41" s="283">
        <v>0</v>
      </c>
      <c r="P41" s="283">
        <v>0</v>
      </c>
      <c r="Q41" s="283">
        <v>0</v>
      </c>
      <c r="R41" s="283">
        <v>0</v>
      </c>
      <c r="S41" s="283">
        <v>0</v>
      </c>
      <c r="U41"/>
    </row>
    <row r="42" spans="3:21" ht="39" x14ac:dyDescent="0.25">
      <c r="C42" s="288" t="s">
        <v>888</v>
      </c>
      <c r="D42" s="292" t="s">
        <v>437</v>
      </c>
      <c r="E42" s="288" t="s">
        <v>858</v>
      </c>
      <c r="F42" s="278">
        <v>3.6752826006283934</v>
      </c>
      <c r="G42" s="278">
        <v>2.8795499525019652</v>
      </c>
      <c r="H42" s="278">
        <v>2.89440574837597</v>
      </c>
      <c r="I42" s="278">
        <v>2.9983303884578962</v>
      </c>
      <c r="J42" s="278">
        <v>3.0493272073870923</v>
      </c>
      <c r="K42" s="278">
        <v>0</v>
      </c>
      <c r="L42" s="278">
        <v>0</v>
      </c>
      <c r="M42" s="278">
        <v>0</v>
      </c>
      <c r="N42" s="278">
        <v>0</v>
      </c>
      <c r="O42" s="278">
        <v>0</v>
      </c>
      <c r="P42" s="278">
        <v>0</v>
      </c>
      <c r="Q42" s="278">
        <v>0</v>
      </c>
      <c r="R42" s="278">
        <v>0</v>
      </c>
      <c r="S42" s="278">
        <v>0</v>
      </c>
      <c r="U42"/>
    </row>
    <row r="43" spans="3:21" ht="39" x14ac:dyDescent="0.25">
      <c r="C43" s="288" t="s">
        <v>889</v>
      </c>
      <c r="D43" s="293" t="s">
        <v>438</v>
      </c>
      <c r="E43" s="288" t="s">
        <v>91</v>
      </c>
      <c r="F43" s="279">
        <v>7011.4648000000007</v>
      </c>
      <c r="G43" s="279">
        <v>5493.4178744124811</v>
      </c>
      <c r="H43" s="279">
        <v>5521.7587943267099</v>
      </c>
      <c r="I43" s="279">
        <v>5720.0194547892579</v>
      </c>
      <c r="J43" s="279">
        <v>5817.3078648758446</v>
      </c>
      <c r="K43" s="279">
        <v>0</v>
      </c>
      <c r="L43" s="279">
        <v>0</v>
      </c>
      <c r="M43" s="279">
        <v>0</v>
      </c>
      <c r="N43" s="279">
        <v>0</v>
      </c>
      <c r="O43" s="279">
        <v>0</v>
      </c>
      <c r="P43" s="279">
        <v>0</v>
      </c>
      <c r="Q43" s="279">
        <v>0</v>
      </c>
      <c r="R43" s="279">
        <v>0</v>
      </c>
      <c r="S43" s="279">
        <v>0</v>
      </c>
    </row>
    <row r="44" spans="3:21" x14ac:dyDescent="0.25">
      <c r="C44" s="288" t="s">
        <v>890</v>
      </c>
      <c r="D44" s="294" t="s">
        <v>439</v>
      </c>
      <c r="E44" s="288" t="s">
        <v>122</v>
      </c>
      <c r="F44" s="280">
        <v>0.20727240409100159</v>
      </c>
      <c r="G44" s="280">
        <v>0.20721913944502865</v>
      </c>
      <c r="H44" s="280">
        <v>0.20714962516206142</v>
      </c>
      <c r="I44" s="280">
        <v>0.20653634793703807</v>
      </c>
      <c r="J44" s="280">
        <v>0.20631230194882788</v>
      </c>
      <c r="K44" s="280">
        <v>0</v>
      </c>
      <c r="L44" s="280">
        <v>0</v>
      </c>
      <c r="M44" s="280">
        <v>0</v>
      </c>
      <c r="N44" s="280">
        <v>0</v>
      </c>
      <c r="O44" s="280">
        <v>0</v>
      </c>
      <c r="P44" s="280">
        <v>0</v>
      </c>
      <c r="Q44" s="280">
        <v>0</v>
      </c>
      <c r="R44" s="280">
        <v>0</v>
      </c>
      <c r="S44" s="280">
        <v>0</v>
      </c>
    </row>
    <row r="45" spans="3:21" ht="26.25" x14ac:dyDescent="0.25">
      <c r="C45" s="288" t="s">
        <v>891</v>
      </c>
      <c r="D45" s="295" t="s">
        <v>862</v>
      </c>
      <c r="E45" s="288" t="s">
        <v>118</v>
      </c>
      <c r="F45" s="281">
        <v>13.877224032857345</v>
      </c>
      <c r="G45" s="281">
        <v>13.792645536558705</v>
      </c>
      <c r="H45" s="281">
        <v>13.734349814440955</v>
      </c>
      <c r="I45" s="281">
        <v>13.327980034930174</v>
      </c>
      <c r="J45" s="281">
        <v>13.127952921274872</v>
      </c>
      <c r="K45" s="281">
        <v>0</v>
      </c>
      <c r="L45" s="281">
        <v>0</v>
      </c>
      <c r="M45" s="281">
        <v>0</v>
      </c>
      <c r="N45" s="281">
        <v>0</v>
      </c>
      <c r="O45" s="281">
        <v>0</v>
      </c>
      <c r="P45" s="281">
        <v>0</v>
      </c>
      <c r="Q45" s="281">
        <v>0</v>
      </c>
      <c r="R45" s="281">
        <v>0</v>
      </c>
      <c r="S45" s="281">
        <v>0</v>
      </c>
    </row>
    <row r="46" spans="3:21" ht="26.25" x14ac:dyDescent="0.25">
      <c r="C46" s="288" t="s">
        <v>892</v>
      </c>
      <c r="D46" s="296" t="s">
        <v>864</v>
      </c>
      <c r="E46" s="288" t="s">
        <v>122</v>
      </c>
      <c r="F46" s="282">
        <v>0.55023557350449837</v>
      </c>
      <c r="G46" s="282">
        <v>0.54688201393762526</v>
      </c>
      <c r="H46" s="282">
        <v>0.54457057326214353</v>
      </c>
      <c r="I46" s="282">
        <v>0.52845790489600697</v>
      </c>
      <c r="J46" s="282">
        <v>0.52052677736372965</v>
      </c>
      <c r="K46" s="282">
        <v>0</v>
      </c>
      <c r="L46" s="282">
        <v>0</v>
      </c>
      <c r="M46" s="282">
        <v>0</v>
      </c>
      <c r="N46" s="282">
        <v>0</v>
      </c>
      <c r="O46" s="282">
        <v>0</v>
      </c>
      <c r="P46" s="282">
        <v>0</v>
      </c>
      <c r="Q46" s="282">
        <v>0</v>
      </c>
      <c r="R46" s="282">
        <v>0</v>
      </c>
      <c r="S46" s="282">
        <v>0</v>
      </c>
      <c r="U46" s="247"/>
    </row>
    <row r="47" spans="3:21" x14ac:dyDescent="0.25">
      <c r="C47" s="285" t="s">
        <v>1017</v>
      </c>
      <c r="D47" s="290" t="s">
        <v>893</v>
      </c>
      <c r="E47" s="287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2"/>
      <c r="U47" s="247"/>
    </row>
    <row r="48" spans="3:21" ht="39" x14ac:dyDescent="0.25">
      <c r="C48" s="288" t="s">
        <v>894</v>
      </c>
      <c r="D48" s="291" t="s">
        <v>435</v>
      </c>
      <c r="E48" s="288" t="s">
        <v>436</v>
      </c>
      <c r="F48" s="283">
        <v>154.86474686667086</v>
      </c>
      <c r="G48" s="283">
        <v>158.49</v>
      </c>
      <c r="H48" s="283">
        <v>158.49</v>
      </c>
      <c r="I48" s="283">
        <v>158.49</v>
      </c>
      <c r="J48" s="283">
        <v>158.49</v>
      </c>
      <c r="K48" s="283">
        <v>158.49</v>
      </c>
      <c r="L48" s="283">
        <v>0</v>
      </c>
      <c r="M48" s="283">
        <v>0</v>
      </c>
      <c r="N48" s="283">
        <v>0</v>
      </c>
      <c r="O48" s="283">
        <v>0</v>
      </c>
      <c r="P48" s="283">
        <v>0</v>
      </c>
      <c r="Q48" s="283">
        <v>0</v>
      </c>
      <c r="R48" s="283">
        <v>0</v>
      </c>
      <c r="S48" s="283">
        <v>0</v>
      </c>
      <c r="U48" s="247"/>
    </row>
    <row r="49" spans="3:21" ht="39" x14ac:dyDescent="0.25">
      <c r="C49" s="288" t="s">
        <v>895</v>
      </c>
      <c r="D49" s="292" t="s">
        <v>437</v>
      </c>
      <c r="E49" s="288" t="s">
        <v>858</v>
      </c>
      <c r="F49" s="278">
        <v>2.7323855189115149</v>
      </c>
      <c r="G49" s="278">
        <v>2.7137562326313303</v>
      </c>
      <c r="H49" s="278">
        <v>2.6874137330340915</v>
      </c>
      <c r="I49" s="278">
        <v>2.6758316210375575</v>
      </c>
      <c r="J49" s="278">
        <v>2.6798456333380227</v>
      </c>
      <c r="K49" s="278">
        <v>2.6838596456384889</v>
      </c>
      <c r="L49" s="278">
        <v>0</v>
      </c>
      <c r="M49" s="278">
        <v>0</v>
      </c>
      <c r="N49" s="278">
        <v>0</v>
      </c>
      <c r="O49" s="278">
        <v>0</v>
      </c>
      <c r="P49" s="278">
        <v>0</v>
      </c>
      <c r="Q49" s="278">
        <v>0</v>
      </c>
      <c r="R49" s="278">
        <v>0</v>
      </c>
      <c r="S49" s="278">
        <v>0</v>
      </c>
      <c r="U49" s="247"/>
    </row>
    <row r="50" spans="3:21" ht="39" x14ac:dyDescent="0.25">
      <c r="C50" s="288" t="s">
        <v>896</v>
      </c>
      <c r="D50" s="293" t="s">
        <v>438</v>
      </c>
      <c r="E50" s="288" t="s">
        <v>91</v>
      </c>
      <c r="F50" s="279">
        <v>7078.1667000000007</v>
      </c>
      <c r="G50" s="279">
        <v>7029.9080656014039</v>
      </c>
      <c r="H50" s="279">
        <v>6961.6685722526709</v>
      </c>
      <c r="I50" s="279">
        <v>6931.66544169802</v>
      </c>
      <c r="J50" s="279">
        <v>6942.0636259959165</v>
      </c>
      <c r="K50" s="279">
        <v>6952.4618102938139</v>
      </c>
      <c r="L50" s="279">
        <v>0</v>
      </c>
      <c r="M50" s="279">
        <v>0</v>
      </c>
      <c r="N50" s="279">
        <v>0</v>
      </c>
      <c r="O50" s="279">
        <v>0</v>
      </c>
      <c r="P50" s="279">
        <v>0</v>
      </c>
      <c r="Q50" s="279">
        <v>0</v>
      </c>
      <c r="R50" s="279">
        <v>0</v>
      </c>
      <c r="S50" s="279">
        <v>0</v>
      </c>
      <c r="U50" s="247"/>
    </row>
    <row r="51" spans="3:21" x14ac:dyDescent="0.25">
      <c r="C51" s="288" t="s">
        <v>897</v>
      </c>
      <c r="D51" s="294" t="s">
        <v>439</v>
      </c>
      <c r="E51" s="288" t="s">
        <v>122</v>
      </c>
      <c r="F51" s="280">
        <v>0.30397986551445233</v>
      </c>
      <c r="G51" s="280">
        <v>0.30317169465552979</v>
      </c>
      <c r="H51" s="280">
        <v>0.30264069449133252</v>
      </c>
      <c r="I51" s="280">
        <v>0.30128963786355306</v>
      </c>
      <c r="J51" s="280">
        <v>0.30008276634239961</v>
      </c>
      <c r="K51" s="280">
        <v>0.29888909191285506</v>
      </c>
      <c r="L51" s="280">
        <v>0</v>
      </c>
      <c r="M51" s="280">
        <v>0</v>
      </c>
      <c r="N51" s="280">
        <v>0</v>
      </c>
      <c r="O51" s="280">
        <v>0</v>
      </c>
      <c r="P51" s="280">
        <v>0</v>
      </c>
      <c r="Q51" s="280">
        <v>0</v>
      </c>
      <c r="R51" s="280">
        <v>0</v>
      </c>
      <c r="S51" s="280">
        <v>0</v>
      </c>
      <c r="U51" s="247"/>
    </row>
    <row r="52" spans="3:21" ht="26.25" x14ac:dyDescent="0.25">
      <c r="C52" s="288" t="s">
        <v>898</v>
      </c>
      <c r="D52" s="295" t="s">
        <v>862</v>
      </c>
      <c r="E52" s="288" t="s">
        <v>118</v>
      </c>
      <c r="F52" s="281">
        <v>6.8463620590709713</v>
      </c>
      <c r="G52" s="281">
        <v>6.8806314631685854</v>
      </c>
      <c r="H52" s="281">
        <v>6.9893011359888995</v>
      </c>
      <c r="I52" s="281">
        <v>7.0461421771977442</v>
      </c>
      <c r="J52" s="281">
        <v>7.0400966792501087</v>
      </c>
      <c r="K52" s="281">
        <v>7.0339729812034602</v>
      </c>
      <c r="L52" s="281">
        <v>0</v>
      </c>
      <c r="M52" s="281">
        <v>0</v>
      </c>
      <c r="N52" s="281">
        <v>0</v>
      </c>
      <c r="O52" s="281">
        <v>0</v>
      </c>
      <c r="P52" s="281">
        <v>0</v>
      </c>
      <c r="Q52" s="281">
        <v>0</v>
      </c>
      <c r="R52" s="281">
        <v>0</v>
      </c>
      <c r="S52" s="281">
        <v>0</v>
      </c>
      <c r="U52" s="247"/>
    </row>
    <row r="53" spans="3:21" ht="26.25" x14ac:dyDescent="0.25">
      <c r="C53" s="288" t="s">
        <v>899</v>
      </c>
      <c r="D53" s="296" t="s">
        <v>864</v>
      </c>
      <c r="E53" s="288" t="s">
        <v>122</v>
      </c>
      <c r="F53" s="282">
        <v>0.38836252847852099</v>
      </c>
      <c r="G53" s="282">
        <v>0.39030647364384691</v>
      </c>
      <c r="H53" s="282">
        <v>0.3964708027490414</v>
      </c>
      <c r="I53" s="282">
        <v>0.39969513273550056</v>
      </c>
      <c r="J53" s="282">
        <v>0.39935219953264073</v>
      </c>
      <c r="K53" s="282">
        <v>0.39900483039900214</v>
      </c>
      <c r="L53" s="282">
        <v>0</v>
      </c>
      <c r="M53" s="282">
        <v>0</v>
      </c>
      <c r="N53" s="282">
        <v>0</v>
      </c>
      <c r="O53" s="282">
        <v>0</v>
      </c>
      <c r="P53" s="282">
        <v>0</v>
      </c>
      <c r="Q53" s="282">
        <v>0</v>
      </c>
      <c r="R53" s="282">
        <v>0</v>
      </c>
      <c r="S53" s="282">
        <v>0</v>
      </c>
      <c r="U53" s="247"/>
    </row>
    <row r="54" spans="3:21" x14ac:dyDescent="0.25">
      <c r="C54" s="285" t="s">
        <v>1018</v>
      </c>
      <c r="D54" s="290" t="s">
        <v>900</v>
      </c>
      <c r="E54" s="287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2"/>
      <c r="U54" s="247"/>
    </row>
    <row r="55" spans="3:21" ht="39" x14ac:dyDescent="0.25">
      <c r="C55" s="288" t="s">
        <v>901</v>
      </c>
      <c r="D55" s="291" t="s">
        <v>435</v>
      </c>
      <c r="E55" s="288" t="s">
        <v>436</v>
      </c>
      <c r="F55" s="283">
        <v>161.4822524925759</v>
      </c>
      <c r="G55" s="283">
        <v>169.69</v>
      </c>
      <c r="H55" s="283">
        <v>169.69</v>
      </c>
      <c r="I55" s="283">
        <v>169.69</v>
      </c>
      <c r="J55" s="283">
        <v>169.69</v>
      </c>
      <c r="K55" s="283">
        <v>0</v>
      </c>
      <c r="L55" s="283">
        <v>0</v>
      </c>
      <c r="M55" s="283">
        <v>0</v>
      </c>
      <c r="N55" s="283">
        <v>0</v>
      </c>
      <c r="O55" s="283">
        <v>0</v>
      </c>
      <c r="P55" s="283">
        <v>0</v>
      </c>
      <c r="Q55" s="283">
        <v>0</v>
      </c>
      <c r="R55" s="283">
        <v>0</v>
      </c>
      <c r="S55" s="283">
        <v>0</v>
      </c>
      <c r="U55" s="247"/>
    </row>
    <row r="56" spans="3:21" ht="39" x14ac:dyDescent="0.25">
      <c r="C56" s="288" t="s">
        <v>902</v>
      </c>
      <c r="D56" s="292" t="s">
        <v>437</v>
      </c>
      <c r="E56" s="288" t="s">
        <v>858</v>
      </c>
      <c r="F56" s="278">
        <v>3.5102675314040983</v>
      </c>
      <c r="G56" s="278">
        <v>3.4695328824019547</v>
      </c>
      <c r="H56" s="278">
        <v>3.4662604920200488</v>
      </c>
      <c r="I56" s="278">
        <v>3.4731750938227526</v>
      </c>
      <c r="J56" s="278">
        <v>3.7094596579385026</v>
      </c>
      <c r="K56" s="278">
        <v>0</v>
      </c>
      <c r="L56" s="278">
        <v>0</v>
      </c>
      <c r="M56" s="278">
        <v>0</v>
      </c>
      <c r="N56" s="278">
        <v>0</v>
      </c>
      <c r="O56" s="278">
        <v>0</v>
      </c>
      <c r="P56" s="278">
        <v>0</v>
      </c>
      <c r="Q56" s="278">
        <v>0</v>
      </c>
      <c r="R56" s="278">
        <v>0</v>
      </c>
      <c r="S56" s="278">
        <v>0</v>
      </c>
      <c r="U56" s="247"/>
    </row>
    <row r="57" spans="3:21" ht="39" x14ac:dyDescent="0.25">
      <c r="C57" s="288" t="s">
        <v>903</v>
      </c>
      <c r="D57" s="293" t="s">
        <v>438</v>
      </c>
      <c r="E57" s="288" t="s">
        <v>91</v>
      </c>
      <c r="F57" s="279">
        <v>9834.9547000000002</v>
      </c>
      <c r="G57" s="279">
        <v>9720.8256702117105</v>
      </c>
      <c r="H57" s="279">
        <v>9711.6571920604492</v>
      </c>
      <c r="I57" s="279">
        <v>9731.0303010584776</v>
      </c>
      <c r="J57" s="279">
        <v>10393.044795280835</v>
      </c>
      <c r="K57" s="279">
        <v>0</v>
      </c>
      <c r="L57" s="279">
        <v>0</v>
      </c>
      <c r="M57" s="279">
        <v>0</v>
      </c>
      <c r="N57" s="279">
        <v>0</v>
      </c>
      <c r="O57" s="279">
        <v>0</v>
      </c>
      <c r="P57" s="279">
        <v>0</v>
      </c>
      <c r="Q57" s="279">
        <v>0</v>
      </c>
      <c r="R57" s="279">
        <v>0</v>
      </c>
      <c r="S57" s="279">
        <v>0</v>
      </c>
      <c r="U57" s="247"/>
    </row>
    <row r="58" spans="3:21" x14ac:dyDescent="0.25">
      <c r="C58" s="288" t="s">
        <v>904</v>
      </c>
      <c r="D58" s="294" t="s">
        <v>439</v>
      </c>
      <c r="E58" s="288" t="s">
        <v>122</v>
      </c>
      <c r="F58" s="280">
        <v>0.98958733997727999</v>
      </c>
      <c r="G58" s="280">
        <v>1.012799583047832</v>
      </c>
      <c r="H58" s="280">
        <v>1.0276977935750615</v>
      </c>
      <c r="I58" s="280">
        <v>1.0521974687342359</v>
      </c>
      <c r="J58" s="280">
        <v>1.033427294245185</v>
      </c>
      <c r="K58" s="280">
        <v>0</v>
      </c>
      <c r="L58" s="280">
        <v>0</v>
      </c>
      <c r="M58" s="280">
        <v>0</v>
      </c>
      <c r="N58" s="280">
        <v>0</v>
      </c>
      <c r="O58" s="280">
        <v>0</v>
      </c>
      <c r="P58" s="280">
        <v>0</v>
      </c>
      <c r="Q58" s="280">
        <v>0</v>
      </c>
      <c r="R58" s="280">
        <v>0</v>
      </c>
      <c r="S58" s="280">
        <v>0</v>
      </c>
      <c r="U58" s="247"/>
    </row>
    <row r="59" spans="3:21" ht="26.25" x14ac:dyDescent="0.25">
      <c r="C59" s="288" t="s">
        <v>905</v>
      </c>
      <c r="D59" s="295" t="s">
        <v>862</v>
      </c>
      <c r="E59" s="288" t="s">
        <v>118</v>
      </c>
      <c r="F59" s="281">
        <v>10.923834773088233</v>
      </c>
      <c r="G59" s="281">
        <v>10.899885466472554</v>
      </c>
      <c r="H59" s="281">
        <v>10.859363623462471</v>
      </c>
      <c r="I59" s="281">
        <v>10.770222155342264</v>
      </c>
      <c r="J59" s="281">
        <v>10.396724360723006</v>
      </c>
      <c r="K59" s="281">
        <v>0</v>
      </c>
      <c r="L59" s="281">
        <v>0</v>
      </c>
      <c r="M59" s="281">
        <v>0</v>
      </c>
      <c r="N59" s="281">
        <v>0</v>
      </c>
      <c r="O59" s="281">
        <v>0</v>
      </c>
      <c r="P59" s="281">
        <v>0</v>
      </c>
      <c r="Q59" s="281">
        <v>0</v>
      </c>
      <c r="R59" s="281">
        <v>0</v>
      </c>
      <c r="S59" s="281">
        <v>0</v>
      </c>
      <c r="U59" s="247"/>
    </row>
    <row r="60" spans="3:21" ht="26.25" x14ac:dyDescent="0.25">
      <c r="C60" s="288" t="s">
        <v>906</v>
      </c>
      <c r="D60" s="296" t="s">
        <v>864</v>
      </c>
      <c r="E60" s="288" t="s">
        <v>122</v>
      </c>
      <c r="F60" s="282">
        <v>0.63581614525714836</v>
      </c>
      <c r="G60" s="282">
        <v>0.63442218826949093</v>
      </c>
      <c r="H60" s="282">
        <v>0.63206363538430277</v>
      </c>
      <c r="I60" s="282">
        <v>0.62687520240082484</v>
      </c>
      <c r="J60" s="282">
        <v>0.60513595670828624</v>
      </c>
      <c r="K60" s="282">
        <v>0</v>
      </c>
      <c r="L60" s="282">
        <v>0</v>
      </c>
      <c r="M60" s="282">
        <v>0</v>
      </c>
      <c r="N60" s="282">
        <v>0</v>
      </c>
      <c r="O60" s="282">
        <v>0</v>
      </c>
      <c r="P60" s="282">
        <v>0</v>
      </c>
      <c r="Q60" s="282">
        <v>0</v>
      </c>
      <c r="R60" s="282">
        <v>0</v>
      </c>
      <c r="S60" s="282">
        <v>0</v>
      </c>
    </row>
    <row r="61" spans="3:21" x14ac:dyDescent="0.25">
      <c r="C61" s="285" t="s">
        <v>1019</v>
      </c>
      <c r="D61" s="290" t="s">
        <v>907</v>
      </c>
      <c r="E61" s="287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71"/>
      <c r="Q61" s="271"/>
      <c r="R61" s="271"/>
      <c r="S61" s="272"/>
    </row>
    <row r="62" spans="3:21" ht="39" x14ac:dyDescent="0.25">
      <c r="C62" s="288" t="s">
        <v>908</v>
      </c>
      <c r="D62" s="291" t="s">
        <v>435</v>
      </c>
      <c r="E62" s="288" t="s">
        <v>436</v>
      </c>
      <c r="F62" s="283">
        <v>136.30901975000049</v>
      </c>
      <c r="G62" s="283">
        <v>156.63999999999999</v>
      </c>
      <c r="H62" s="283">
        <v>156.63999999999999</v>
      </c>
      <c r="I62" s="283">
        <v>156.63999999999999</v>
      </c>
      <c r="J62" s="283">
        <v>156.63999999999999</v>
      </c>
      <c r="K62" s="283">
        <v>156.63999999999999</v>
      </c>
      <c r="L62" s="283">
        <v>156.63999999999999</v>
      </c>
      <c r="M62" s="283">
        <v>156.63999999999999</v>
      </c>
      <c r="N62" s="283">
        <v>156.63999999999999</v>
      </c>
      <c r="O62" s="283">
        <v>156.63999999999999</v>
      </c>
      <c r="P62" s="283">
        <v>156.63999999999999</v>
      </c>
      <c r="Q62" s="283">
        <v>156.63999999999999</v>
      </c>
      <c r="R62" s="283">
        <v>156.63999999999999</v>
      </c>
      <c r="S62" s="283">
        <v>156.63999999999999</v>
      </c>
      <c r="U62" s="247"/>
    </row>
    <row r="63" spans="3:21" ht="39" x14ac:dyDescent="0.25">
      <c r="C63" s="288" t="s">
        <v>909</v>
      </c>
      <c r="D63" s="292" t="s">
        <v>437</v>
      </c>
      <c r="E63" s="288" t="s">
        <v>858</v>
      </c>
      <c r="F63" s="278">
        <v>8.0763184064281361</v>
      </c>
      <c r="G63" s="278">
        <v>8.1428769078620444</v>
      </c>
      <c r="H63" s="278">
        <v>8.2253512583328714</v>
      </c>
      <c r="I63" s="278">
        <v>8.220463525450274</v>
      </c>
      <c r="J63" s="278">
        <v>8.5181674408980594</v>
      </c>
      <c r="K63" s="278">
        <v>8.6372679664105849</v>
      </c>
      <c r="L63" s="278">
        <v>8.756368491923114</v>
      </c>
      <c r="M63" s="278">
        <v>8.8754690174356412</v>
      </c>
      <c r="N63" s="278">
        <v>8.9945695429481685</v>
      </c>
      <c r="O63" s="278">
        <v>9.1136700684606975</v>
      </c>
      <c r="P63" s="278">
        <v>9.2327705939732247</v>
      </c>
      <c r="Q63" s="278">
        <v>9.351871119485752</v>
      </c>
      <c r="R63" s="278">
        <v>9.4709716449982793</v>
      </c>
      <c r="S63" s="278">
        <v>9.5900721705108083</v>
      </c>
      <c r="U63" s="247"/>
    </row>
    <row r="64" spans="3:21" ht="39" x14ac:dyDescent="0.25">
      <c r="C64" s="288" t="s">
        <v>910</v>
      </c>
      <c r="D64" s="293" t="s">
        <v>438</v>
      </c>
      <c r="E64" s="288" t="s">
        <v>91</v>
      </c>
      <c r="F64" s="279">
        <v>10463.897000000001</v>
      </c>
      <c r="G64" s="279">
        <v>10550.131998229444</v>
      </c>
      <c r="H64" s="279">
        <v>10656.988001799309</v>
      </c>
      <c r="I64" s="279">
        <v>10650.655322616389</v>
      </c>
      <c r="J64" s="279">
        <v>11036.368583408945</v>
      </c>
      <c r="K64" s="279">
        <v>11190.678451952144</v>
      </c>
      <c r="L64" s="279">
        <v>11344.988320495346</v>
      </c>
      <c r="M64" s="279">
        <v>11499.298189038547</v>
      </c>
      <c r="N64" s="279">
        <v>11653.608057581747</v>
      </c>
      <c r="O64" s="279">
        <v>11807.91792612495</v>
      </c>
      <c r="P64" s="279">
        <v>11962.227794668152</v>
      </c>
      <c r="Q64" s="279">
        <v>12116.537663211351</v>
      </c>
      <c r="R64" s="279">
        <v>12270.847531754553</v>
      </c>
      <c r="S64" s="279">
        <v>12425.157400297756</v>
      </c>
      <c r="U64" s="247"/>
    </row>
    <row r="65" spans="1:21" x14ac:dyDescent="0.25">
      <c r="A65" s="7"/>
      <c r="C65" s="288" t="s">
        <v>911</v>
      </c>
      <c r="D65" s="294" t="s">
        <v>439</v>
      </c>
      <c r="E65" s="288" t="s">
        <v>122</v>
      </c>
      <c r="F65" s="280">
        <v>0.47931317739897028</v>
      </c>
      <c r="G65" s="280">
        <v>0.47784750005430077</v>
      </c>
      <c r="H65" s="280">
        <v>0.4766680752364979</v>
      </c>
      <c r="I65" s="280">
        <v>0.47995300122762652</v>
      </c>
      <c r="J65" s="280">
        <v>0.47335852555189056</v>
      </c>
      <c r="K65" s="280">
        <v>0.47182922170057534</v>
      </c>
      <c r="L65" s="280">
        <v>0.47035097210854793</v>
      </c>
      <c r="M65" s="280">
        <v>0.46892126215773383</v>
      </c>
      <c r="N65" s="280">
        <v>0.46753773970204826</v>
      </c>
      <c r="O65" s="280">
        <v>0.46619820215413388</v>
      </c>
      <c r="P65" s="280">
        <v>0.46490058478443969</v>
      </c>
      <c r="Q65" s="280">
        <v>0.46364295010190287</v>
      </c>
      <c r="R65" s="280">
        <v>0.46242347820135404</v>
      </c>
      <c r="S65" s="280">
        <v>0.46124045797651148</v>
      </c>
      <c r="U65" s="247"/>
    </row>
    <row r="66" spans="1:21" ht="26.25" x14ac:dyDescent="0.25">
      <c r="A66" s="7"/>
      <c r="C66" s="288" t="s">
        <v>912</v>
      </c>
      <c r="D66" s="295" t="s">
        <v>862</v>
      </c>
      <c r="E66" s="288" t="s">
        <v>118</v>
      </c>
      <c r="F66" s="281">
        <v>14.801681963201695</v>
      </c>
      <c r="G66" s="281">
        <v>14.677354072951918</v>
      </c>
      <c r="H66" s="281">
        <v>14.574425169030093</v>
      </c>
      <c r="I66" s="281">
        <v>14.556271340054042</v>
      </c>
      <c r="J66" s="281">
        <v>14.20356822232108</v>
      </c>
      <c r="K66" s="281">
        <v>14.05468561658687</v>
      </c>
      <c r="L66" s="281">
        <v>13.905727070584131</v>
      </c>
      <c r="M66" s="281">
        <v>13.756696324662336</v>
      </c>
      <c r="N66" s="281">
        <v>13.607596877503244</v>
      </c>
      <c r="O66" s="281">
        <v>13.458432005328609</v>
      </c>
      <c r="P66" s="281">
        <v>13.309204779304656</v>
      </c>
      <c r="Q66" s="281">
        <v>13.159918081337686</v>
      </c>
      <c r="R66" s="281">
        <v>13.010574618431761</v>
      </c>
      <c r="S66" s="281">
        <v>12.861176935758863</v>
      </c>
      <c r="U66" s="247"/>
    </row>
    <row r="67" spans="1:21" ht="26.25" x14ac:dyDescent="0.25">
      <c r="A67" s="7"/>
      <c r="C67" s="288" t="s">
        <v>913</v>
      </c>
      <c r="D67" s="296" t="s">
        <v>864</v>
      </c>
      <c r="E67" s="288" t="s">
        <v>122</v>
      </c>
      <c r="F67" s="282">
        <v>0.57552529737074942</v>
      </c>
      <c r="G67" s="282">
        <v>0.5706911274307811</v>
      </c>
      <c r="H67" s="282">
        <v>0.56668900198416461</v>
      </c>
      <c r="I67" s="282">
        <v>0.56598313708003867</v>
      </c>
      <c r="J67" s="282">
        <v>0.55226918435348338</v>
      </c>
      <c r="K67" s="282">
        <v>0.54648026751609047</v>
      </c>
      <c r="L67" s="282">
        <v>0.54068839793685808</v>
      </c>
      <c r="M67" s="282">
        <v>0.53489372104964616</v>
      </c>
      <c r="N67" s="282">
        <v>0.52909637289168798</v>
      </c>
      <c r="O67" s="282">
        <v>0.5232964808504319</v>
      </c>
      <c r="P67" s="282">
        <v>0.51749416434027018</v>
      </c>
      <c r="Q67" s="282">
        <v>0.51168953541671014</v>
      </c>
      <c r="R67" s="282">
        <v>0.5058826993346357</v>
      </c>
      <c r="S67" s="282">
        <v>0.50007375505650709</v>
      </c>
      <c r="U67" s="247"/>
    </row>
    <row r="68" spans="1:21" x14ac:dyDescent="0.25">
      <c r="C68" s="285" t="s">
        <v>1020</v>
      </c>
      <c r="D68" s="290" t="s">
        <v>914</v>
      </c>
      <c r="E68" s="287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71"/>
      <c r="Q68" s="271"/>
      <c r="R68" s="271"/>
      <c r="S68" s="272"/>
      <c r="U68" s="247"/>
    </row>
    <row r="69" spans="1:21" ht="39" x14ac:dyDescent="0.25">
      <c r="C69" s="288" t="s">
        <v>915</v>
      </c>
      <c r="D69" s="291" t="s">
        <v>435</v>
      </c>
      <c r="E69" s="288" t="s">
        <v>436</v>
      </c>
      <c r="F69" s="277">
        <v>145.51526918833278</v>
      </c>
      <c r="G69" s="277">
        <v>158.06</v>
      </c>
      <c r="H69" s="277">
        <v>158.06</v>
      </c>
      <c r="I69" s="277">
        <v>158.06</v>
      </c>
      <c r="J69" s="277">
        <v>158.06</v>
      </c>
      <c r="K69" s="277">
        <v>158.06</v>
      </c>
      <c r="L69" s="277">
        <v>158.06</v>
      </c>
      <c r="M69" s="277">
        <v>158.06</v>
      </c>
      <c r="N69" s="277">
        <v>158.06</v>
      </c>
      <c r="O69" s="277">
        <v>158.06</v>
      </c>
      <c r="P69" s="277">
        <v>158.06</v>
      </c>
      <c r="Q69" s="277">
        <v>158.06</v>
      </c>
      <c r="R69" s="277">
        <v>158.06</v>
      </c>
      <c r="S69" s="277">
        <v>158.06</v>
      </c>
      <c r="U69" s="247"/>
    </row>
    <row r="70" spans="1:21" ht="39" x14ac:dyDescent="0.25">
      <c r="C70" s="288" t="s">
        <v>916</v>
      </c>
      <c r="D70" s="292" t="s">
        <v>437</v>
      </c>
      <c r="E70" s="288" t="s">
        <v>858</v>
      </c>
      <c r="F70" s="278">
        <v>1.1357568389057757</v>
      </c>
      <c r="G70" s="278">
        <v>1.1309284873154091</v>
      </c>
      <c r="H70" s="278">
        <v>1.1309284873154091</v>
      </c>
      <c r="I70" s="278">
        <v>1.1309284873154091</v>
      </c>
      <c r="J70" s="278">
        <v>1.1309284873154091</v>
      </c>
      <c r="K70" s="278">
        <v>1.1309284873154091</v>
      </c>
      <c r="L70" s="278">
        <v>1.1309284873154091</v>
      </c>
      <c r="M70" s="278">
        <v>1.1309284873154091</v>
      </c>
      <c r="N70" s="278">
        <v>1.1309284873154091</v>
      </c>
      <c r="O70" s="278">
        <v>1.1309284873154091</v>
      </c>
      <c r="P70" s="278">
        <v>1.1309284873154091</v>
      </c>
      <c r="Q70" s="278">
        <v>1.1309284873154091</v>
      </c>
      <c r="R70" s="278">
        <v>1.1309284873154091</v>
      </c>
      <c r="S70" s="278">
        <v>1.1309284873154091</v>
      </c>
      <c r="U70" s="247"/>
    </row>
    <row r="71" spans="1:21" ht="39" x14ac:dyDescent="0.25">
      <c r="C71" s="288" t="s">
        <v>917</v>
      </c>
      <c r="D71" s="293" t="s">
        <v>438</v>
      </c>
      <c r="E71" s="288" t="s">
        <v>91</v>
      </c>
      <c r="F71" s="279">
        <v>747.32800000000043</v>
      </c>
      <c r="G71" s="279">
        <v>744.15094465353923</v>
      </c>
      <c r="H71" s="279">
        <v>744.15094465353923</v>
      </c>
      <c r="I71" s="279">
        <v>744.15094465353923</v>
      </c>
      <c r="J71" s="279">
        <v>744.15094465353923</v>
      </c>
      <c r="K71" s="279">
        <v>744.15094465353923</v>
      </c>
      <c r="L71" s="279">
        <v>744.15094465353923</v>
      </c>
      <c r="M71" s="279">
        <v>744.15094465353923</v>
      </c>
      <c r="N71" s="279">
        <v>744.15094465353923</v>
      </c>
      <c r="O71" s="279">
        <v>744.15094465353923</v>
      </c>
      <c r="P71" s="279">
        <v>744.15094465353923</v>
      </c>
      <c r="Q71" s="279">
        <v>744.15094465353923</v>
      </c>
      <c r="R71" s="279">
        <v>744.15094465353923</v>
      </c>
      <c r="S71" s="279">
        <v>744.15094465353923</v>
      </c>
      <c r="U71" s="247"/>
    </row>
    <row r="72" spans="1:21" x14ac:dyDescent="0.25">
      <c r="C72" s="288" t="s">
        <v>918</v>
      </c>
      <c r="D72" s="294" t="s">
        <v>439</v>
      </c>
      <c r="E72" s="288" t="s">
        <v>122</v>
      </c>
      <c r="F72" s="280">
        <v>0.13602306608493042</v>
      </c>
      <c r="G72" s="280">
        <v>0.13602306608493042</v>
      </c>
      <c r="H72" s="280">
        <v>0.13602306608493042</v>
      </c>
      <c r="I72" s="280">
        <v>0.13602306608493042</v>
      </c>
      <c r="J72" s="280">
        <v>0.13602306608493042</v>
      </c>
      <c r="K72" s="280">
        <v>0.13602306608493042</v>
      </c>
      <c r="L72" s="280">
        <v>0.13602306608493042</v>
      </c>
      <c r="M72" s="280">
        <v>0.13602306608493042</v>
      </c>
      <c r="N72" s="280">
        <v>0.13602306608493042</v>
      </c>
      <c r="O72" s="280">
        <v>0.13602306608493042</v>
      </c>
      <c r="P72" s="280">
        <v>0.13602306608493042</v>
      </c>
      <c r="Q72" s="280">
        <v>0.13602306608493042</v>
      </c>
      <c r="R72" s="280">
        <v>0.13602306608493042</v>
      </c>
      <c r="S72" s="280">
        <v>0.13602306608493042</v>
      </c>
    </row>
    <row r="73" spans="1:21" ht="26.25" x14ac:dyDescent="0.25">
      <c r="C73" s="288" t="s">
        <v>919</v>
      </c>
      <c r="D73" s="295" t="s">
        <v>862</v>
      </c>
      <c r="E73" s="288" t="s">
        <v>118</v>
      </c>
      <c r="F73" s="281">
        <v>1.324996289699893</v>
      </c>
      <c r="G73" s="281">
        <v>1.324996289699893</v>
      </c>
      <c r="H73" s="281">
        <v>1.324996289699893</v>
      </c>
      <c r="I73" s="281">
        <v>1.324996289699893</v>
      </c>
      <c r="J73" s="281">
        <v>1.324996289699893</v>
      </c>
      <c r="K73" s="281">
        <v>1.324996289699893</v>
      </c>
      <c r="L73" s="281">
        <v>1.324996289699893</v>
      </c>
      <c r="M73" s="281">
        <v>1.324996289699893</v>
      </c>
      <c r="N73" s="281">
        <v>1.324996289699893</v>
      </c>
      <c r="O73" s="281">
        <v>1.324996289699893</v>
      </c>
      <c r="P73" s="281">
        <v>1.324996289699893</v>
      </c>
      <c r="Q73" s="281">
        <v>1.324996289699893</v>
      </c>
      <c r="R73" s="281">
        <v>1.324996289699893</v>
      </c>
      <c r="S73" s="281">
        <v>1.324996289699893</v>
      </c>
    </row>
    <row r="74" spans="1:21" ht="26.25" x14ac:dyDescent="0.25">
      <c r="C74" s="288" t="s">
        <v>920</v>
      </c>
      <c r="D74" s="296" t="s">
        <v>864</v>
      </c>
      <c r="E74" s="288" t="s">
        <v>122</v>
      </c>
      <c r="F74" s="282">
        <v>0.37531576171903108</v>
      </c>
      <c r="G74" s="282">
        <v>0.37531576171903108</v>
      </c>
      <c r="H74" s="282">
        <v>0.37531576171903108</v>
      </c>
      <c r="I74" s="282">
        <v>0.37531576171903108</v>
      </c>
      <c r="J74" s="282">
        <v>0.37531576171903108</v>
      </c>
      <c r="K74" s="282">
        <v>0.37531576171903108</v>
      </c>
      <c r="L74" s="282">
        <v>0.37531576171903108</v>
      </c>
      <c r="M74" s="282">
        <v>0.37531576171903108</v>
      </c>
      <c r="N74" s="282">
        <v>0.37531576171903108</v>
      </c>
      <c r="O74" s="282">
        <v>0.37531576171903108</v>
      </c>
      <c r="P74" s="282">
        <v>0.37531576171903108</v>
      </c>
      <c r="Q74" s="282">
        <v>0.37531576171903108</v>
      </c>
      <c r="R74" s="282">
        <v>0.37531576171903108</v>
      </c>
      <c r="S74" s="282">
        <v>0.37531576171903108</v>
      </c>
    </row>
    <row r="75" spans="1:21" x14ac:dyDescent="0.25">
      <c r="C75" s="285" t="s">
        <v>1021</v>
      </c>
      <c r="D75" s="290" t="s">
        <v>921</v>
      </c>
      <c r="E75" s="287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271"/>
      <c r="Q75" s="271"/>
      <c r="R75" s="271"/>
      <c r="S75" s="272"/>
      <c r="U75" s="247"/>
    </row>
    <row r="76" spans="1:21" ht="39" x14ac:dyDescent="0.25">
      <c r="C76" s="288" t="s">
        <v>922</v>
      </c>
      <c r="D76" s="291" t="s">
        <v>435</v>
      </c>
      <c r="E76" s="288" t="s">
        <v>436</v>
      </c>
      <c r="F76" s="283">
        <v>167.0040390918021</v>
      </c>
      <c r="G76" s="283">
        <v>167.0040390918021</v>
      </c>
      <c r="H76" s="283">
        <v>167.0040390918021</v>
      </c>
      <c r="I76" s="283">
        <v>167.0040390918021</v>
      </c>
      <c r="J76" s="283">
        <v>167.0040390918021</v>
      </c>
      <c r="K76" s="283">
        <v>167.0040390918021</v>
      </c>
      <c r="L76" s="283">
        <v>167.0040390918021</v>
      </c>
      <c r="M76" s="283">
        <v>167.0040390918021</v>
      </c>
      <c r="N76" s="283">
        <v>0</v>
      </c>
      <c r="O76" s="283">
        <v>0</v>
      </c>
      <c r="P76" s="283">
        <v>0</v>
      </c>
      <c r="Q76" s="283">
        <v>0</v>
      </c>
      <c r="R76" s="283">
        <v>0</v>
      </c>
      <c r="S76" s="283">
        <v>0</v>
      </c>
      <c r="U76" s="247"/>
    </row>
    <row r="77" spans="1:21" ht="39" x14ac:dyDescent="0.25">
      <c r="C77" s="288" t="s">
        <v>923</v>
      </c>
      <c r="D77" s="292" t="s">
        <v>437</v>
      </c>
      <c r="E77" s="288" t="s">
        <v>858</v>
      </c>
      <c r="F77" s="278">
        <v>1.463057299524934</v>
      </c>
      <c r="G77" s="278">
        <v>1.4921047043865823</v>
      </c>
      <c r="H77" s="278">
        <v>1.522568871580549</v>
      </c>
      <c r="I77" s="278">
        <v>1.5870471555927399</v>
      </c>
      <c r="J77" s="278">
        <v>1.6310402067824705</v>
      </c>
      <c r="K77" s="278">
        <v>1.6750332579722014</v>
      </c>
      <c r="L77" s="278">
        <v>1.719026309161932</v>
      </c>
      <c r="M77" s="278">
        <v>1.7630193603516631</v>
      </c>
      <c r="N77" s="278">
        <v>0</v>
      </c>
      <c r="O77" s="278">
        <v>0</v>
      </c>
      <c r="P77" s="278">
        <v>0</v>
      </c>
      <c r="Q77" s="278">
        <v>0</v>
      </c>
      <c r="R77" s="278">
        <v>0</v>
      </c>
      <c r="S77" s="278">
        <v>0</v>
      </c>
      <c r="U77" s="247"/>
    </row>
    <row r="78" spans="1:21" ht="39" x14ac:dyDescent="0.25">
      <c r="C78" s="288" t="s">
        <v>924</v>
      </c>
      <c r="D78" s="293" t="s">
        <v>438</v>
      </c>
      <c r="E78" s="288" t="s">
        <v>91</v>
      </c>
      <c r="F78" s="279">
        <v>2706.7059000000013</v>
      </c>
      <c r="G78" s="279">
        <v>2760.4445896222337</v>
      </c>
      <c r="H78" s="279">
        <v>2816.8043378762977</v>
      </c>
      <c r="I78" s="279">
        <v>2936.091362256233</v>
      </c>
      <c r="J78" s="279">
        <v>3017.4800072894186</v>
      </c>
      <c r="K78" s="279">
        <v>3098.8686523226047</v>
      </c>
      <c r="L78" s="279">
        <v>3180.2572973557903</v>
      </c>
      <c r="M78" s="279">
        <v>3261.6459423889764</v>
      </c>
      <c r="N78" s="279">
        <v>0</v>
      </c>
      <c r="O78" s="279">
        <v>0</v>
      </c>
      <c r="P78" s="279">
        <v>0</v>
      </c>
      <c r="Q78" s="279">
        <v>0</v>
      </c>
      <c r="R78" s="279">
        <v>0</v>
      </c>
      <c r="S78" s="279">
        <v>0</v>
      </c>
      <c r="U78" s="247"/>
    </row>
    <row r="79" spans="1:21" x14ac:dyDescent="0.25">
      <c r="C79" s="288" t="s">
        <v>925</v>
      </c>
      <c r="D79" s="294" t="s">
        <v>439</v>
      </c>
      <c r="E79" s="288" t="s">
        <v>122</v>
      </c>
      <c r="F79" s="280">
        <v>0.12028288916728055</v>
      </c>
      <c r="G79" s="280">
        <v>0.11969798882132289</v>
      </c>
      <c r="H79" s="280">
        <v>0.11915990193215535</v>
      </c>
      <c r="I79" s="280">
        <v>0.11777214843059322</v>
      </c>
      <c r="J79" s="280">
        <v>0.11712148458858898</v>
      </c>
      <c r="K79" s="280">
        <v>0.11651159723482891</v>
      </c>
      <c r="L79" s="280">
        <v>0.11593876969360056</v>
      </c>
      <c r="M79" s="280">
        <v>0.1153997236581349</v>
      </c>
      <c r="N79" s="280">
        <v>0</v>
      </c>
      <c r="O79" s="280">
        <v>0</v>
      </c>
      <c r="P79" s="280">
        <v>0</v>
      </c>
      <c r="Q79" s="280">
        <v>0</v>
      </c>
      <c r="R79" s="280">
        <v>0</v>
      </c>
      <c r="S79" s="280">
        <v>0</v>
      </c>
      <c r="U79" s="247"/>
    </row>
    <row r="80" spans="1:21" ht="26.25" x14ac:dyDescent="0.25">
      <c r="C80" s="288" t="s">
        <v>926</v>
      </c>
      <c r="D80" s="295" t="s">
        <v>862</v>
      </c>
      <c r="E80" s="288" t="s">
        <v>118</v>
      </c>
      <c r="F80" s="281">
        <v>7.8904447820968144</v>
      </c>
      <c r="G80" s="281">
        <v>7.6934906721476821</v>
      </c>
      <c r="H80" s="281">
        <v>7.522316777286246</v>
      </c>
      <c r="I80" s="281">
        <v>7.1626091380342967</v>
      </c>
      <c r="J80" s="281">
        <v>6.915227451980746</v>
      </c>
      <c r="K80" s="281">
        <v>6.6677889369331602</v>
      </c>
      <c r="L80" s="281">
        <v>6.4202987727133181</v>
      </c>
      <c r="M80" s="281">
        <v>6.1727615282010788</v>
      </c>
      <c r="N80" s="281">
        <v>0</v>
      </c>
      <c r="O80" s="281">
        <v>0</v>
      </c>
      <c r="P80" s="281">
        <v>0</v>
      </c>
      <c r="Q80" s="281">
        <v>0</v>
      </c>
      <c r="R80" s="281">
        <v>0</v>
      </c>
      <c r="S80" s="281">
        <v>0</v>
      </c>
      <c r="U80" s="247"/>
    </row>
    <row r="81" spans="3:21" ht="26.25" x14ac:dyDescent="0.25">
      <c r="C81" s="288" t="s">
        <v>927</v>
      </c>
      <c r="D81" s="296" t="s">
        <v>864</v>
      </c>
      <c r="E81" s="288" t="s">
        <v>122</v>
      </c>
      <c r="F81" s="282">
        <v>0.48455973669200819</v>
      </c>
      <c r="G81" s="282">
        <v>0.47246459702714394</v>
      </c>
      <c r="H81" s="282">
        <v>0.46195264494925847</v>
      </c>
      <c r="I81" s="282">
        <v>0.43986265588330498</v>
      </c>
      <c r="J81" s="282">
        <v>0.42467071069302653</v>
      </c>
      <c r="K81" s="282">
        <v>0.40947527558004448</v>
      </c>
      <c r="L81" s="282">
        <v>0.39427666864215272</v>
      </c>
      <c r="M81" s="282">
        <v>0.37907517045861927</v>
      </c>
      <c r="N81" s="282">
        <v>0</v>
      </c>
      <c r="O81" s="282">
        <v>0</v>
      </c>
      <c r="P81" s="282">
        <v>0</v>
      </c>
      <c r="Q81" s="282">
        <v>0</v>
      </c>
      <c r="R81" s="282">
        <v>0</v>
      </c>
      <c r="S81" s="282">
        <v>0</v>
      </c>
      <c r="U81" s="247"/>
    </row>
    <row r="82" spans="3:21" x14ac:dyDescent="0.25">
      <c r="C82" s="285" t="s">
        <v>1022</v>
      </c>
      <c r="D82" s="290" t="s">
        <v>928</v>
      </c>
      <c r="E82" s="287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271"/>
      <c r="Q82" s="271"/>
      <c r="R82" s="271"/>
      <c r="S82" s="272"/>
      <c r="U82" s="247"/>
    </row>
    <row r="83" spans="3:21" ht="39" x14ac:dyDescent="0.25">
      <c r="C83" s="288" t="s">
        <v>929</v>
      </c>
      <c r="D83" s="291" t="s">
        <v>435</v>
      </c>
      <c r="E83" s="288" t="s">
        <v>436</v>
      </c>
      <c r="F83" s="283">
        <v>185.64649772869831</v>
      </c>
      <c r="G83" s="283">
        <v>185.64649772869831</v>
      </c>
      <c r="H83" s="283">
        <v>185.64649772869831</v>
      </c>
      <c r="I83" s="283">
        <v>185.64649772869831</v>
      </c>
      <c r="J83" s="283">
        <v>0</v>
      </c>
      <c r="K83" s="283">
        <v>0</v>
      </c>
      <c r="L83" s="283">
        <v>0</v>
      </c>
      <c r="M83" s="283">
        <v>0</v>
      </c>
      <c r="N83" s="283">
        <v>0</v>
      </c>
      <c r="O83" s="283">
        <v>0</v>
      </c>
      <c r="P83" s="283">
        <v>0</v>
      </c>
      <c r="Q83" s="283">
        <v>0</v>
      </c>
      <c r="R83" s="283">
        <v>0</v>
      </c>
      <c r="S83" s="283">
        <v>0</v>
      </c>
      <c r="U83" s="247"/>
    </row>
    <row r="84" spans="3:21" ht="39" x14ac:dyDescent="0.25">
      <c r="C84" s="288" t="s">
        <v>930</v>
      </c>
      <c r="D84" s="292" t="s">
        <v>437</v>
      </c>
      <c r="E84" s="288" t="s">
        <v>858</v>
      </c>
      <c r="F84" s="278">
        <v>3.0474330863687129</v>
      </c>
      <c r="G84" s="278">
        <v>3.0092190286191975</v>
      </c>
      <c r="H84" s="278">
        <v>2.9714701597936917</v>
      </c>
      <c r="I84" s="278">
        <v>2.9773307621377558</v>
      </c>
      <c r="J84" s="278">
        <v>0</v>
      </c>
      <c r="K84" s="278">
        <v>0</v>
      </c>
      <c r="L84" s="278">
        <v>0</v>
      </c>
      <c r="M84" s="278">
        <v>0</v>
      </c>
      <c r="N84" s="278">
        <v>0</v>
      </c>
      <c r="O84" s="278">
        <v>0</v>
      </c>
      <c r="P84" s="278">
        <v>0</v>
      </c>
      <c r="Q84" s="278">
        <v>0</v>
      </c>
      <c r="R84" s="278">
        <v>0</v>
      </c>
      <c r="S84" s="278">
        <v>0</v>
      </c>
    </row>
    <row r="85" spans="3:21" ht="39" x14ac:dyDescent="0.25">
      <c r="C85" s="288" t="s">
        <v>931</v>
      </c>
      <c r="D85" s="293" t="s">
        <v>438</v>
      </c>
      <c r="E85" s="288" t="s">
        <v>91</v>
      </c>
      <c r="F85" s="279">
        <v>2965.9182999999994</v>
      </c>
      <c r="G85" s="279">
        <v>2928.726417525691</v>
      </c>
      <c r="H85" s="279">
        <v>2891.987280789705</v>
      </c>
      <c r="I85" s="279">
        <v>2897.6911198072157</v>
      </c>
      <c r="J85" s="279">
        <v>0</v>
      </c>
      <c r="K85" s="279">
        <v>0</v>
      </c>
      <c r="L85" s="279">
        <v>0</v>
      </c>
      <c r="M85" s="279">
        <v>0</v>
      </c>
      <c r="N85" s="279">
        <v>0</v>
      </c>
      <c r="O85" s="279">
        <v>0</v>
      </c>
      <c r="P85" s="279">
        <v>0</v>
      </c>
      <c r="Q85" s="279">
        <v>0</v>
      </c>
      <c r="R85" s="279">
        <v>0</v>
      </c>
      <c r="S85" s="279">
        <v>0</v>
      </c>
    </row>
    <row r="86" spans="3:21" x14ac:dyDescent="0.25">
      <c r="C86" s="288" t="s">
        <v>932</v>
      </c>
      <c r="D86" s="294" t="s">
        <v>439</v>
      </c>
      <c r="E86" s="288" t="s">
        <v>122</v>
      </c>
      <c r="F86" s="280">
        <v>0.37529247458262954</v>
      </c>
      <c r="G86" s="280">
        <v>0.37495361311686987</v>
      </c>
      <c r="H86" s="280">
        <v>0.37444484973519387</v>
      </c>
      <c r="I86" s="280">
        <v>0.37452459110064512</v>
      </c>
      <c r="J86" s="280">
        <v>0</v>
      </c>
      <c r="K86" s="280">
        <v>0</v>
      </c>
      <c r="L86" s="280">
        <v>0</v>
      </c>
      <c r="M86" s="280">
        <v>0</v>
      </c>
      <c r="N86" s="280">
        <v>0</v>
      </c>
      <c r="O86" s="280">
        <v>0</v>
      </c>
      <c r="P86" s="280">
        <v>0</v>
      </c>
      <c r="Q86" s="280">
        <v>0</v>
      </c>
      <c r="R86" s="280">
        <v>0</v>
      </c>
      <c r="S86" s="280">
        <v>0</v>
      </c>
    </row>
    <row r="87" spans="3:21" ht="26.25" x14ac:dyDescent="0.25">
      <c r="C87" s="288" t="s">
        <v>933</v>
      </c>
      <c r="D87" s="295" t="s">
        <v>862</v>
      </c>
      <c r="E87" s="288" t="s">
        <v>118</v>
      </c>
      <c r="F87" s="281">
        <v>2.5157707247249674</v>
      </c>
      <c r="G87" s="281">
        <v>2.5479980134400644</v>
      </c>
      <c r="H87" s="281">
        <v>2.5954776295968749</v>
      </c>
      <c r="I87" s="281">
        <v>2.5881065471558053</v>
      </c>
      <c r="J87" s="281">
        <v>0</v>
      </c>
      <c r="K87" s="281">
        <v>0</v>
      </c>
      <c r="L87" s="281">
        <v>0</v>
      </c>
      <c r="M87" s="281">
        <v>0</v>
      </c>
      <c r="N87" s="281">
        <v>0</v>
      </c>
      <c r="O87" s="281">
        <v>0</v>
      </c>
      <c r="P87" s="281">
        <v>0</v>
      </c>
      <c r="Q87" s="281">
        <v>0</v>
      </c>
      <c r="R87" s="281">
        <v>0</v>
      </c>
      <c r="S87" s="281">
        <v>0</v>
      </c>
    </row>
    <row r="88" spans="3:21" ht="26.25" x14ac:dyDescent="0.25">
      <c r="C88" s="288" t="s">
        <v>934</v>
      </c>
      <c r="D88" s="296" t="s">
        <v>864</v>
      </c>
      <c r="E88" s="288" t="s">
        <v>122</v>
      </c>
      <c r="F88" s="282">
        <v>0.40408807863911966</v>
      </c>
      <c r="G88" s="282">
        <v>0.40926448960878598</v>
      </c>
      <c r="H88" s="282">
        <v>0.41689075963362138</v>
      </c>
      <c r="I88" s="282">
        <v>0.415706801766623</v>
      </c>
      <c r="J88" s="282">
        <v>0</v>
      </c>
      <c r="K88" s="282">
        <v>0</v>
      </c>
      <c r="L88" s="282">
        <v>0</v>
      </c>
      <c r="M88" s="282">
        <v>0</v>
      </c>
      <c r="N88" s="282">
        <v>0</v>
      </c>
      <c r="O88" s="282">
        <v>0</v>
      </c>
      <c r="P88" s="282">
        <v>0</v>
      </c>
      <c r="Q88" s="282">
        <v>0</v>
      </c>
      <c r="R88" s="282">
        <v>0</v>
      </c>
      <c r="S88" s="282">
        <v>0</v>
      </c>
    </row>
    <row r="89" spans="3:21" x14ac:dyDescent="0.25">
      <c r="C89" s="285" t="s">
        <v>1023</v>
      </c>
      <c r="D89" s="290" t="s">
        <v>935</v>
      </c>
      <c r="E89" s="287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2"/>
    </row>
    <row r="90" spans="3:21" ht="39" x14ac:dyDescent="0.25">
      <c r="C90" s="288" t="s">
        <v>936</v>
      </c>
      <c r="D90" s="291" t="s">
        <v>435</v>
      </c>
      <c r="E90" s="288" t="s">
        <v>436</v>
      </c>
      <c r="F90" s="283">
        <v>157.28684669654479</v>
      </c>
      <c r="G90" s="283">
        <v>157.28684669654479</v>
      </c>
      <c r="H90" s="283">
        <v>157.28684669654479</v>
      </c>
      <c r="I90" s="283">
        <v>157.28684669654479</v>
      </c>
      <c r="J90" s="283">
        <v>0</v>
      </c>
      <c r="K90" s="283">
        <v>0</v>
      </c>
      <c r="L90" s="283">
        <v>0</v>
      </c>
      <c r="M90" s="283">
        <v>0</v>
      </c>
      <c r="N90" s="283">
        <v>0</v>
      </c>
      <c r="O90" s="283">
        <v>0</v>
      </c>
      <c r="P90" s="283">
        <v>0</v>
      </c>
      <c r="Q90" s="283">
        <v>0</v>
      </c>
      <c r="R90" s="283">
        <v>0</v>
      </c>
      <c r="S90" s="283">
        <v>0</v>
      </c>
    </row>
    <row r="91" spans="3:21" ht="39" x14ac:dyDescent="0.25">
      <c r="C91" s="288" t="s">
        <v>937</v>
      </c>
      <c r="D91" s="292" t="s">
        <v>437</v>
      </c>
      <c r="E91" s="288" t="s">
        <v>858</v>
      </c>
      <c r="F91" s="278">
        <v>4.3662795291023615</v>
      </c>
      <c r="G91" s="278">
        <v>4.6056828445370623</v>
      </c>
      <c r="H91" s="278">
        <v>4.0897534350566929</v>
      </c>
      <c r="I91" s="278">
        <v>3.5601637416679295</v>
      </c>
      <c r="J91" s="278">
        <v>0</v>
      </c>
      <c r="K91" s="278">
        <v>0</v>
      </c>
      <c r="L91" s="278">
        <v>0</v>
      </c>
      <c r="M91" s="278">
        <v>0</v>
      </c>
      <c r="N91" s="278">
        <v>0</v>
      </c>
      <c r="O91" s="278">
        <v>0</v>
      </c>
      <c r="P91" s="278">
        <v>0</v>
      </c>
      <c r="Q91" s="278">
        <v>0</v>
      </c>
      <c r="R91" s="278">
        <v>0</v>
      </c>
      <c r="S91" s="278">
        <v>0</v>
      </c>
    </row>
    <row r="92" spans="3:21" ht="39" x14ac:dyDescent="0.25">
      <c r="C92" s="288" t="s">
        <v>938</v>
      </c>
      <c r="D92" s="293" t="s">
        <v>438</v>
      </c>
      <c r="E92" s="288" t="s">
        <v>91</v>
      </c>
      <c r="F92" s="279">
        <v>9473.8286000000007</v>
      </c>
      <c r="G92" s="279">
        <v>9993.2790753034842</v>
      </c>
      <c r="H92" s="279">
        <v>8873.8301800741174</v>
      </c>
      <c r="I92" s="279">
        <v>7724.7415910246755</v>
      </c>
      <c r="J92" s="279">
        <v>0</v>
      </c>
      <c r="K92" s="279">
        <v>0</v>
      </c>
      <c r="L92" s="279">
        <v>0</v>
      </c>
      <c r="M92" s="279">
        <v>0</v>
      </c>
      <c r="N92" s="279">
        <v>0</v>
      </c>
      <c r="O92" s="279">
        <v>0</v>
      </c>
      <c r="P92" s="279">
        <v>0</v>
      </c>
      <c r="Q92" s="279">
        <v>0</v>
      </c>
      <c r="R92" s="279">
        <v>0</v>
      </c>
      <c r="S92" s="279">
        <v>0</v>
      </c>
    </row>
    <row r="93" spans="3:21" x14ac:dyDescent="0.25">
      <c r="C93" s="288" t="s">
        <v>939</v>
      </c>
      <c r="D93" s="294" t="s">
        <v>439</v>
      </c>
      <c r="E93" s="288" t="s">
        <v>122</v>
      </c>
      <c r="F93" s="280">
        <v>0.90850150313017719</v>
      </c>
      <c r="G93" s="280">
        <v>0.892106025647183</v>
      </c>
      <c r="H93" s="280">
        <v>0.93597735056146991</v>
      </c>
      <c r="I93" s="280">
        <v>1.0027226760953156</v>
      </c>
      <c r="J93" s="280">
        <v>0</v>
      </c>
      <c r="K93" s="280">
        <v>0</v>
      </c>
      <c r="L93" s="280">
        <v>0</v>
      </c>
      <c r="M93" s="280">
        <v>0</v>
      </c>
      <c r="N93" s="280">
        <v>0</v>
      </c>
      <c r="O93" s="280">
        <v>0</v>
      </c>
      <c r="P93" s="280">
        <v>0</v>
      </c>
      <c r="Q93" s="280">
        <v>0</v>
      </c>
      <c r="R93" s="280">
        <v>0</v>
      </c>
      <c r="S93" s="280">
        <v>0</v>
      </c>
    </row>
    <row r="94" spans="3:21" ht="26.25" x14ac:dyDescent="0.25">
      <c r="C94" s="288" t="s">
        <v>940</v>
      </c>
      <c r="D94" s="295" t="s">
        <v>862</v>
      </c>
      <c r="E94" s="288" t="s">
        <v>118</v>
      </c>
      <c r="F94" s="281">
        <v>3.3252582554551076</v>
      </c>
      <c r="G94" s="281">
        <v>2.9645328526205326</v>
      </c>
      <c r="H94" s="281">
        <v>3.6531349957669308</v>
      </c>
      <c r="I94" s="281">
        <v>4.3338544939912538</v>
      </c>
      <c r="J94" s="281">
        <v>0</v>
      </c>
      <c r="K94" s="281">
        <v>0</v>
      </c>
      <c r="L94" s="281">
        <v>0</v>
      </c>
      <c r="M94" s="281">
        <v>0</v>
      </c>
      <c r="N94" s="281">
        <v>0</v>
      </c>
      <c r="O94" s="281">
        <v>0</v>
      </c>
      <c r="P94" s="281">
        <v>0</v>
      </c>
      <c r="Q94" s="281">
        <v>0</v>
      </c>
      <c r="R94" s="281">
        <v>0</v>
      </c>
      <c r="S94" s="281">
        <v>0</v>
      </c>
    </row>
    <row r="95" spans="3:21" ht="26.25" x14ac:dyDescent="0.25">
      <c r="C95" s="288" t="s">
        <v>941</v>
      </c>
      <c r="D95" s="296" t="s">
        <v>864</v>
      </c>
      <c r="E95" s="288" t="s">
        <v>122</v>
      </c>
      <c r="F95" s="282">
        <v>0.3168144782236344</v>
      </c>
      <c r="G95" s="282">
        <v>0.28244631145235755</v>
      </c>
      <c r="H95" s="282">
        <v>0.34805298375418892</v>
      </c>
      <c r="I95" s="282">
        <v>0.41290863588069621</v>
      </c>
      <c r="J95" s="282">
        <v>0</v>
      </c>
      <c r="K95" s="282">
        <v>0</v>
      </c>
      <c r="L95" s="282">
        <v>0</v>
      </c>
      <c r="M95" s="282">
        <v>0</v>
      </c>
      <c r="N95" s="282">
        <v>0</v>
      </c>
      <c r="O95" s="282">
        <v>0</v>
      </c>
      <c r="P95" s="282">
        <v>0</v>
      </c>
      <c r="Q95" s="282">
        <v>0</v>
      </c>
      <c r="R95" s="282">
        <v>0</v>
      </c>
      <c r="S95" s="282">
        <v>0</v>
      </c>
    </row>
    <row r="96" spans="3:21" x14ac:dyDescent="0.25">
      <c r="C96" s="285" t="s">
        <v>1024</v>
      </c>
      <c r="D96" s="290" t="s">
        <v>942</v>
      </c>
      <c r="E96" s="287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2"/>
    </row>
    <row r="97" spans="3:19" ht="39" x14ac:dyDescent="0.25">
      <c r="C97" s="288" t="s">
        <v>943</v>
      </c>
      <c r="D97" s="291" t="s">
        <v>435</v>
      </c>
      <c r="E97" s="288" t="s">
        <v>436</v>
      </c>
      <c r="F97" s="283">
        <v>147.9399292204279</v>
      </c>
      <c r="G97" s="283">
        <v>155.6</v>
      </c>
      <c r="H97" s="283">
        <v>155.6</v>
      </c>
      <c r="I97" s="283">
        <v>155.6</v>
      </c>
      <c r="J97" s="283">
        <v>155.6</v>
      </c>
      <c r="K97" s="283">
        <v>155.6</v>
      </c>
      <c r="L97" s="283">
        <v>155.6</v>
      </c>
      <c r="M97" s="283">
        <v>155.6</v>
      </c>
      <c r="N97" s="283">
        <v>155.6</v>
      </c>
      <c r="O97" s="283">
        <v>155.6</v>
      </c>
      <c r="P97" s="283">
        <v>155.6</v>
      </c>
      <c r="Q97" s="283">
        <v>155.6</v>
      </c>
      <c r="R97" s="283">
        <v>155.6</v>
      </c>
      <c r="S97" s="283">
        <v>155.6</v>
      </c>
    </row>
    <row r="98" spans="3:19" ht="39" x14ac:dyDescent="0.25">
      <c r="C98" s="288" t="s">
        <v>944</v>
      </c>
      <c r="D98" s="292" t="s">
        <v>437</v>
      </c>
      <c r="E98" s="288" t="s">
        <v>858</v>
      </c>
      <c r="F98" s="278">
        <v>13.240062054927566</v>
      </c>
      <c r="G98" s="278">
        <v>13.189698444472278</v>
      </c>
      <c r="H98" s="278">
        <v>13.189698444472278</v>
      </c>
      <c r="I98" s="278">
        <v>13.189698444472278</v>
      </c>
      <c r="J98" s="278">
        <v>13.189698444472278</v>
      </c>
      <c r="K98" s="278">
        <v>13.189698444472278</v>
      </c>
      <c r="L98" s="278">
        <v>13.189698444472278</v>
      </c>
      <c r="M98" s="278">
        <v>13.189698444472278</v>
      </c>
      <c r="N98" s="278">
        <v>13.189698444472278</v>
      </c>
      <c r="O98" s="278">
        <v>13.189698444472278</v>
      </c>
      <c r="P98" s="278">
        <v>13.189698444472278</v>
      </c>
      <c r="Q98" s="278">
        <v>13.189698444472278</v>
      </c>
      <c r="R98" s="278">
        <v>13.189698444472278</v>
      </c>
      <c r="S98" s="278">
        <v>13.189698444472278</v>
      </c>
    </row>
    <row r="99" spans="3:19" ht="39" x14ac:dyDescent="0.25">
      <c r="C99" s="288" t="s">
        <v>945</v>
      </c>
      <c r="D99" s="293" t="s">
        <v>438</v>
      </c>
      <c r="E99" s="288" t="s">
        <v>91</v>
      </c>
      <c r="F99" s="279">
        <v>580.84860000000003</v>
      </c>
      <c r="G99" s="279">
        <v>578.63912148679231</v>
      </c>
      <c r="H99" s="279">
        <v>578.63912148679231</v>
      </c>
      <c r="I99" s="279">
        <v>578.63912148679231</v>
      </c>
      <c r="J99" s="279">
        <v>578.63912148679231</v>
      </c>
      <c r="K99" s="279">
        <v>578.63912148679231</v>
      </c>
      <c r="L99" s="279">
        <v>578.63912148679231</v>
      </c>
      <c r="M99" s="279">
        <v>578.63912148679231</v>
      </c>
      <c r="N99" s="279">
        <v>578.63912148679231</v>
      </c>
      <c r="O99" s="279">
        <v>578.63912148679231</v>
      </c>
      <c r="P99" s="279">
        <v>578.63912148679231</v>
      </c>
      <c r="Q99" s="279">
        <v>578.63912148679231</v>
      </c>
      <c r="R99" s="279">
        <v>578.63912148679231</v>
      </c>
      <c r="S99" s="279">
        <v>578.63912148679231</v>
      </c>
    </row>
    <row r="100" spans="3:19" x14ac:dyDescent="0.25">
      <c r="C100" s="288" t="s">
        <v>946</v>
      </c>
      <c r="D100" s="294" t="s">
        <v>439</v>
      </c>
      <c r="E100" s="288" t="s">
        <v>122</v>
      </c>
      <c r="F100" s="280">
        <v>0.2266336743530985</v>
      </c>
      <c r="G100" s="280">
        <v>0.22663367435309853</v>
      </c>
      <c r="H100" s="280">
        <v>0.22663367435309853</v>
      </c>
      <c r="I100" s="280">
        <v>0.22663367435309853</v>
      </c>
      <c r="J100" s="280">
        <v>0.22663367435309853</v>
      </c>
      <c r="K100" s="280">
        <v>0.22663367435309853</v>
      </c>
      <c r="L100" s="280">
        <v>0.22663367435309853</v>
      </c>
      <c r="M100" s="280">
        <v>0.22663367435309853</v>
      </c>
      <c r="N100" s="280">
        <v>0.22663367435309853</v>
      </c>
      <c r="O100" s="280">
        <v>0.22663367435309853</v>
      </c>
      <c r="P100" s="280">
        <v>0.22663367435309853</v>
      </c>
      <c r="Q100" s="280">
        <v>0.22663367435309853</v>
      </c>
      <c r="R100" s="280">
        <v>0.22663367435309853</v>
      </c>
      <c r="S100" s="280">
        <v>0.22663367435309853</v>
      </c>
    </row>
    <row r="101" spans="3:19" ht="26.25" x14ac:dyDescent="0.25">
      <c r="C101" s="288" t="s">
        <v>947</v>
      </c>
      <c r="D101" s="295" t="s">
        <v>862</v>
      </c>
      <c r="E101" s="288" t="s">
        <v>118</v>
      </c>
      <c r="F101" s="281">
        <v>0.64083958181543077</v>
      </c>
      <c r="G101" s="281">
        <v>0.64083958181543077</v>
      </c>
      <c r="H101" s="281">
        <v>0.64083958181543077</v>
      </c>
      <c r="I101" s="281">
        <v>0.64083958181543077</v>
      </c>
      <c r="J101" s="281">
        <v>0.64083958181543077</v>
      </c>
      <c r="K101" s="281">
        <v>0.64083958181543077</v>
      </c>
      <c r="L101" s="281">
        <v>0.64083958181543077</v>
      </c>
      <c r="M101" s="281">
        <v>0.64083958181543077</v>
      </c>
      <c r="N101" s="281">
        <v>0.64083958181543077</v>
      </c>
      <c r="O101" s="281">
        <v>0.64083958181543077</v>
      </c>
      <c r="P101" s="281">
        <v>0.64083958181543077</v>
      </c>
      <c r="Q101" s="281">
        <v>0.64083958181543077</v>
      </c>
      <c r="R101" s="281">
        <v>0.64083958181543077</v>
      </c>
      <c r="S101" s="281">
        <v>0.64083958181543077</v>
      </c>
    </row>
    <row r="102" spans="3:19" ht="26.25" x14ac:dyDescent="0.25">
      <c r="C102" s="288" t="s">
        <v>948</v>
      </c>
      <c r="D102" s="296" t="s">
        <v>864</v>
      </c>
      <c r="E102" s="288" t="s">
        <v>122</v>
      </c>
      <c r="F102" s="282">
        <v>0.39811859802187233</v>
      </c>
      <c r="G102" s="282">
        <v>0.39811859802187233</v>
      </c>
      <c r="H102" s="282">
        <v>0.39811859802187233</v>
      </c>
      <c r="I102" s="282">
        <v>0.39811859802187233</v>
      </c>
      <c r="J102" s="282">
        <v>0.39811859802187233</v>
      </c>
      <c r="K102" s="282">
        <v>0.39811859802187233</v>
      </c>
      <c r="L102" s="282">
        <v>0.39811859802187233</v>
      </c>
      <c r="M102" s="282">
        <v>0.39811859802187233</v>
      </c>
      <c r="N102" s="282">
        <v>0.39811859802187233</v>
      </c>
      <c r="O102" s="282">
        <v>0.39811859802187233</v>
      </c>
      <c r="P102" s="282">
        <v>0.39811859802187233</v>
      </c>
      <c r="Q102" s="282">
        <v>0.39811859802187233</v>
      </c>
      <c r="R102" s="282">
        <v>0.39811859802187233</v>
      </c>
      <c r="S102" s="282">
        <v>0.39811859802187233</v>
      </c>
    </row>
    <row r="103" spans="3:19" x14ac:dyDescent="0.25">
      <c r="C103" s="285" t="s">
        <v>1025</v>
      </c>
      <c r="D103" s="290" t="s">
        <v>949</v>
      </c>
      <c r="E103" s="287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2"/>
    </row>
    <row r="104" spans="3:19" ht="39" x14ac:dyDescent="0.25">
      <c r="C104" s="288" t="s">
        <v>950</v>
      </c>
      <c r="D104" s="291" t="s">
        <v>435</v>
      </c>
      <c r="E104" s="288" t="s">
        <v>436</v>
      </c>
      <c r="F104" s="283">
        <v>165.68315282134841</v>
      </c>
      <c r="G104" s="283">
        <v>165.68315282134841</v>
      </c>
      <c r="H104" s="283">
        <v>165.68315282134841</v>
      </c>
      <c r="I104" s="283">
        <v>165.68315282134841</v>
      </c>
      <c r="J104" s="283">
        <v>165.68315282134841</v>
      </c>
      <c r="K104" s="283">
        <v>165.68315282134841</v>
      </c>
      <c r="L104" s="283">
        <v>0</v>
      </c>
      <c r="M104" s="283">
        <v>0</v>
      </c>
      <c r="N104" s="283">
        <v>0</v>
      </c>
      <c r="O104" s="283">
        <v>0</v>
      </c>
      <c r="P104" s="283">
        <v>0</v>
      </c>
      <c r="Q104" s="283">
        <v>0</v>
      </c>
      <c r="R104" s="283">
        <v>0</v>
      </c>
      <c r="S104" s="283">
        <v>0</v>
      </c>
    </row>
    <row r="105" spans="3:19" ht="39" x14ac:dyDescent="0.25">
      <c r="C105" s="288" t="s">
        <v>951</v>
      </c>
      <c r="D105" s="292" t="s">
        <v>437</v>
      </c>
      <c r="E105" s="288" t="s">
        <v>858</v>
      </c>
      <c r="F105" s="278">
        <v>7.3833848306084002</v>
      </c>
      <c r="G105" s="278">
        <v>7.467810194119882</v>
      </c>
      <c r="H105" s="278">
        <v>7.5629545131189362</v>
      </c>
      <c r="I105" s="278">
        <v>8.4094861498823992</v>
      </c>
      <c r="J105" s="278">
        <v>8.7551405920124949</v>
      </c>
      <c r="K105" s="278">
        <v>10.808016001041844</v>
      </c>
      <c r="L105" s="278">
        <v>0</v>
      </c>
      <c r="M105" s="278">
        <v>0</v>
      </c>
      <c r="N105" s="278">
        <v>0</v>
      </c>
      <c r="O105" s="278">
        <v>0</v>
      </c>
      <c r="P105" s="278">
        <v>0</v>
      </c>
      <c r="Q105" s="278">
        <v>0</v>
      </c>
      <c r="R105" s="278">
        <v>0</v>
      </c>
      <c r="S105" s="278">
        <v>0</v>
      </c>
    </row>
    <row r="106" spans="3:19" ht="39" x14ac:dyDescent="0.25">
      <c r="C106" s="288" t="s">
        <v>952</v>
      </c>
      <c r="D106" s="293" t="s">
        <v>438</v>
      </c>
      <c r="E106" s="288" t="s">
        <v>91</v>
      </c>
      <c r="F106" s="279">
        <v>1544.8731999999998</v>
      </c>
      <c r="G106" s="279">
        <v>1562.538062997314</v>
      </c>
      <c r="H106" s="279">
        <v>1582.4457221436378</v>
      </c>
      <c r="I106" s="279">
        <v>1759.5709930852915</v>
      </c>
      <c r="J106" s="279">
        <v>1831.8945000348454</v>
      </c>
      <c r="K106" s="279">
        <v>2261.4308543097923</v>
      </c>
      <c r="L106" s="279">
        <v>0</v>
      </c>
      <c r="M106" s="279">
        <v>0</v>
      </c>
      <c r="N106" s="279">
        <v>0</v>
      </c>
      <c r="O106" s="279">
        <v>0</v>
      </c>
      <c r="P106" s="279">
        <v>0</v>
      </c>
      <c r="Q106" s="279">
        <v>0</v>
      </c>
      <c r="R106" s="279">
        <v>0</v>
      </c>
      <c r="S106" s="279">
        <v>0</v>
      </c>
    </row>
    <row r="107" spans="3:19" x14ac:dyDescent="0.25">
      <c r="C107" s="288" t="s">
        <v>953</v>
      </c>
      <c r="D107" s="294" t="s">
        <v>439</v>
      </c>
      <c r="E107" s="288" t="s">
        <v>122</v>
      </c>
      <c r="F107" s="280">
        <v>0.20529939706923742</v>
      </c>
      <c r="G107" s="280">
        <v>0.20446490721071545</v>
      </c>
      <c r="H107" s="280">
        <v>0.203798472379253</v>
      </c>
      <c r="I107" s="280">
        <v>0.19476487627876057</v>
      </c>
      <c r="J107" s="280">
        <v>0.19217745349304732</v>
      </c>
      <c r="K107" s="280">
        <v>0.17862432428567518</v>
      </c>
      <c r="L107" s="280">
        <v>0</v>
      </c>
      <c r="M107" s="280">
        <v>0</v>
      </c>
      <c r="N107" s="280">
        <v>0</v>
      </c>
      <c r="O107" s="280">
        <v>0</v>
      </c>
      <c r="P107" s="280">
        <v>0</v>
      </c>
      <c r="Q107" s="280">
        <v>0</v>
      </c>
      <c r="R107" s="280">
        <v>0</v>
      </c>
      <c r="S107" s="280">
        <v>0</v>
      </c>
    </row>
    <row r="108" spans="3:19" ht="26.25" x14ac:dyDescent="0.25">
      <c r="C108" s="288" t="s">
        <v>954</v>
      </c>
      <c r="D108" s="295" t="s">
        <v>862</v>
      </c>
      <c r="E108" s="288" t="s">
        <v>118</v>
      </c>
      <c r="F108" s="281">
        <v>5.0094301361828588</v>
      </c>
      <c r="G108" s="281">
        <v>4.9631137113773853</v>
      </c>
      <c r="H108" s="281">
        <v>4.924774557071748</v>
      </c>
      <c r="I108" s="281">
        <v>4.5947468316955842</v>
      </c>
      <c r="J108" s="281">
        <v>4.4581555612136095</v>
      </c>
      <c r="K108" s="281">
        <v>3.6529647238364662</v>
      </c>
      <c r="L108" s="281">
        <v>0</v>
      </c>
      <c r="M108" s="281">
        <v>0</v>
      </c>
      <c r="N108" s="281">
        <v>0</v>
      </c>
      <c r="O108" s="281">
        <v>0</v>
      </c>
      <c r="P108" s="281">
        <v>0</v>
      </c>
      <c r="Q108" s="281">
        <v>0</v>
      </c>
      <c r="R108" s="281">
        <v>0</v>
      </c>
      <c r="S108" s="281">
        <v>0</v>
      </c>
    </row>
    <row r="109" spans="3:19" ht="26.25" x14ac:dyDescent="0.25">
      <c r="C109" s="288" t="s">
        <v>955</v>
      </c>
      <c r="D109" s="296" t="s">
        <v>864</v>
      </c>
      <c r="E109" s="288" t="s">
        <v>122</v>
      </c>
      <c r="F109" s="282">
        <v>0.61762726094883635</v>
      </c>
      <c r="G109" s="282">
        <v>0.61191677376528919</v>
      </c>
      <c r="H109" s="282">
        <v>0.60718982754243411</v>
      </c>
      <c r="I109" s="282">
        <v>0.56649974613198162</v>
      </c>
      <c r="J109" s="282">
        <v>0.54965900976798732</v>
      </c>
      <c r="K109" s="282">
        <v>0.45038468156879435</v>
      </c>
      <c r="L109" s="282">
        <v>0</v>
      </c>
      <c r="M109" s="282">
        <v>0</v>
      </c>
      <c r="N109" s="282">
        <v>0</v>
      </c>
      <c r="O109" s="282">
        <v>0</v>
      </c>
      <c r="P109" s="282">
        <v>0</v>
      </c>
      <c r="Q109" s="282">
        <v>0</v>
      </c>
      <c r="R109" s="282">
        <v>0</v>
      </c>
      <c r="S109" s="282">
        <v>0</v>
      </c>
    </row>
    <row r="110" spans="3:19" x14ac:dyDescent="0.25">
      <c r="C110" s="285" t="s">
        <v>1026</v>
      </c>
      <c r="D110" s="290" t="s">
        <v>956</v>
      </c>
      <c r="E110" s="287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2"/>
    </row>
    <row r="111" spans="3:19" ht="39" x14ac:dyDescent="0.25">
      <c r="C111" s="288" t="s">
        <v>957</v>
      </c>
      <c r="D111" s="291" t="s">
        <v>435</v>
      </c>
      <c r="E111" s="288" t="s">
        <v>436</v>
      </c>
      <c r="F111" s="277">
        <v>145.77037388717881</v>
      </c>
      <c r="G111" s="277">
        <v>156.1</v>
      </c>
      <c r="H111" s="277">
        <v>156.1</v>
      </c>
      <c r="I111" s="277">
        <v>156.1</v>
      </c>
      <c r="J111" s="277">
        <v>156.1</v>
      </c>
      <c r="K111" s="277">
        <v>156.1</v>
      </c>
      <c r="L111" s="277">
        <v>156.1</v>
      </c>
      <c r="M111" s="277">
        <v>156.1</v>
      </c>
      <c r="N111" s="277">
        <v>156.1</v>
      </c>
      <c r="O111" s="277">
        <v>156.1</v>
      </c>
      <c r="P111" s="277">
        <v>156.1</v>
      </c>
      <c r="Q111" s="277">
        <v>156.1</v>
      </c>
      <c r="R111" s="277">
        <v>156.1</v>
      </c>
      <c r="S111" s="277">
        <v>156.1</v>
      </c>
    </row>
    <row r="112" spans="3:19" ht="39" x14ac:dyDescent="0.25">
      <c r="C112" s="288" t="s">
        <v>958</v>
      </c>
      <c r="D112" s="292" t="s">
        <v>437</v>
      </c>
      <c r="E112" s="288" t="s">
        <v>858</v>
      </c>
      <c r="F112" s="278">
        <v>9.0285781226336645</v>
      </c>
      <c r="G112" s="278">
        <v>6.8652438038817234</v>
      </c>
      <c r="H112" s="278">
        <v>8.9132643144307409</v>
      </c>
      <c r="I112" s="278">
        <v>12.406787504785109</v>
      </c>
      <c r="J112" s="278">
        <v>18.220091101478374</v>
      </c>
      <c r="K112" s="278">
        <v>21.189370132208129</v>
      </c>
      <c r="L112" s="278">
        <v>24.682893322562496</v>
      </c>
      <c r="M112" s="278">
        <v>27.652172353292258</v>
      </c>
      <c r="N112" s="278">
        <v>30.621451384022013</v>
      </c>
      <c r="O112" s="278">
        <v>33.590730414751775</v>
      </c>
      <c r="P112" s="278">
        <v>36.560009445481533</v>
      </c>
      <c r="Q112" s="278">
        <v>39.529288476211292</v>
      </c>
      <c r="R112" s="278">
        <v>42.498567506941058</v>
      </c>
      <c r="S112" s="278">
        <v>45.467846537670809</v>
      </c>
    </row>
    <row r="113" spans="3:19" ht="39" x14ac:dyDescent="0.25">
      <c r="C113" s="288" t="s">
        <v>959</v>
      </c>
      <c r="D113" s="293" t="s">
        <v>438</v>
      </c>
      <c r="E113" s="288" t="s">
        <v>91</v>
      </c>
      <c r="F113" s="279">
        <v>2382.5702999999999</v>
      </c>
      <c r="G113" s="279">
        <v>1811.6834973585246</v>
      </c>
      <c r="H113" s="279">
        <v>2352.1398987925904</v>
      </c>
      <c r="I113" s="279">
        <v>3274.0530154142757</v>
      </c>
      <c r="J113" s="279">
        <v>4808.1378188278486</v>
      </c>
      <c r="K113" s="279">
        <v>5591.707051428767</v>
      </c>
      <c r="L113" s="279">
        <v>6513.6201680504519</v>
      </c>
      <c r="M113" s="279">
        <v>7297.1894006513721</v>
      </c>
      <c r="N113" s="279">
        <v>8080.7586332522906</v>
      </c>
      <c r="O113" s="279">
        <v>8864.3278658532108</v>
      </c>
      <c r="P113" s="279">
        <v>9647.8970984541302</v>
      </c>
      <c r="Q113" s="279">
        <v>10431.46633105505</v>
      </c>
      <c r="R113" s="279">
        <v>11215.035563655971</v>
      </c>
      <c r="S113" s="279">
        <v>11998.604796256888</v>
      </c>
    </row>
    <row r="114" spans="3:19" x14ac:dyDescent="0.25">
      <c r="C114" s="288" t="s">
        <v>960</v>
      </c>
      <c r="D114" s="294" t="s">
        <v>439</v>
      </c>
      <c r="E114" s="288" t="s">
        <v>122</v>
      </c>
      <c r="F114" s="280">
        <v>0.51127781196806277</v>
      </c>
      <c r="G114" s="280">
        <v>0.48106133144724328</v>
      </c>
      <c r="H114" s="280">
        <v>0.46978453547086763</v>
      </c>
      <c r="I114" s="280">
        <v>0.45277505854257483</v>
      </c>
      <c r="J114" s="280">
        <v>0.42411112859629974</v>
      </c>
      <c r="K114" s="280">
        <v>0.42567890062595998</v>
      </c>
      <c r="L114" s="280">
        <v>0.42405810757410084</v>
      </c>
      <c r="M114" s="280">
        <v>0.4252638509743123</v>
      </c>
      <c r="N114" s="280">
        <v>0.42624076151693219</v>
      </c>
      <c r="O114" s="280">
        <v>0.42704833708497758</v>
      </c>
      <c r="P114" s="280">
        <v>0.42772709424831867</v>
      </c>
      <c r="Q114" s="280">
        <v>0.42830557854230289</v>
      </c>
      <c r="R114" s="280">
        <v>0.4288044815638033</v>
      </c>
      <c r="S114" s="280">
        <v>0.42923916827091652</v>
      </c>
    </row>
    <row r="115" spans="3:19" ht="26.25" x14ac:dyDescent="0.25">
      <c r="C115" s="288" t="s">
        <v>961</v>
      </c>
      <c r="D115" s="295" t="s">
        <v>862</v>
      </c>
      <c r="E115" s="288" t="s">
        <v>118</v>
      </c>
      <c r="F115" s="281">
        <v>8.1360003527444569</v>
      </c>
      <c r="G115" s="281">
        <v>7.7313718890980159</v>
      </c>
      <c r="H115" s="281">
        <v>7.3962779287389679</v>
      </c>
      <c r="I115" s="281">
        <v>6.8336965111767842</v>
      </c>
      <c r="J115" s="281">
        <v>5.9283955615871289</v>
      </c>
      <c r="K115" s="281">
        <v>5.4414417214564752</v>
      </c>
      <c r="L115" s="281">
        <v>4.8769243907727198</v>
      </c>
      <c r="M115" s="281">
        <v>4.3899746767678556</v>
      </c>
      <c r="N115" s="281">
        <v>3.9030074600708007</v>
      </c>
      <c r="O115" s="281">
        <v>3.4160272914840188</v>
      </c>
      <c r="P115" s="281">
        <v>2.9290372699901424</v>
      </c>
      <c r="Q115" s="281">
        <v>2.442039578945721</v>
      </c>
      <c r="R115" s="281">
        <v>1.9550358009847137</v>
      </c>
      <c r="S115" s="281">
        <v>1.4680271113235399</v>
      </c>
    </row>
    <row r="116" spans="3:19" ht="26.25" x14ac:dyDescent="0.25">
      <c r="C116" s="288" t="s">
        <v>962</v>
      </c>
      <c r="D116" s="296" t="s">
        <v>864</v>
      </c>
      <c r="E116" s="288" t="s">
        <v>122</v>
      </c>
      <c r="F116" s="282">
        <v>0.91486142276744364</v>
      </c>
      <c r="G116" s="282">
        <v>0.86936253438318756</v>
      </c>
      <c r="H116" s="282">
        <v>0.83168252896978501</v>
      </c>
      <c r="I116" s="282">
        <v>0.7684224486134893</v>
      </c>
      <c r="J116" s="282">
        <v>0.66662489713047701</v>
      </c>
      <c r="K116" s="282">
        <v>0.61186884210477588</v>
      </c>
      <c r="L116" s="282">
        <v>0.54839107588860203</v>
      </c>
      <c r="M116" s="282">
        <v>0.49363548482961012</v>
      </c>
      <c r="N116" s="282">
        <v>0.43887792566132788</v>
      </c>
      <c r="O116" s="282">
        <v>0.38411891010369592</v>
      </c>
      <c r="P116" s="282">
        <v>0.32935878662519225</v>
      </c>
      <c r="Q116" s="282">
        <v>0.2745978007357226</v>
      </c>
      <c r="R116" s="282">
        <v>0.21983613039628658</v>
      </c>
      <c r="S116" s="282">
        <v>0.16507390775537464</v>
      </c>
    </row>
    <row r="117" spans="3:19" x14ac:dyDescent="0.25">
      <c r="C117" s="285" t="s">
        <v>1027</v>
      </c>
      <c r="D117" s="290" t="s">
        <v>963</v>
      </c>
      <c r="E117" s="287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2"/>
    </row>
    <row r="118" spans="3:19" ht="39" x14ac:dyDescent="0.25">
      <c r="C118" s="288" t="s">
        <v>964</v>
      </c>
      <c r="D118" s="291" t="s">
        <v>435</v>
      </c>
      <c r="E118" s="288" t="s">
        <v>436</v>
      </c>
      <c r="F118" s="283">
        <v>0</v>
      </c>
      <c r="G118" s="283">
        <v>0</v>
      </c>
      <c r="H118" s="283">
        <v>0</v>
      </c>
      <c r="I118" s="283">
        <v>0</v>
      </c>
      <c r="J118" s="283">
        <v>155</v>
      </c>
      <c r="K118" s="283">
        <v>155</v>
      </c>
      <c r="L118" s="283">
        <v>155</v>
      </c>
      <c r="M118" s="283">
        <v>155</v>
      </c>
      <c r="N118" s="283">
        <v>155</v>
      </c>
      <c r="O118" s="283">
        <v>155</v>
      </c>
      <c r="P118" s="283">
        <v>155</v>
      </c>
      <c r="Q118" s="283">
        <v>155</v>
      </c>
      <c r="R118" s="283">
        <v>155</v>
      </c>
      <c r="S118" s="283">
        <v>155</v>
      </c>
    </row>
    <row r="119" spans="3:19" ht="39" x14ac:dyDescent="0.25">
      <c r="C119" s="288" t="s">
        <v>965</v>
      </c>
      <c r="D119" s="292" t="s">
        <v>437</v>
      </c>
      <c r="E119" s="288" t="s">
        <v>858</v>
      </c>
      <c r="F119" s="278">
        <v>0</v>
      </c>
      <c r="G119" s="278">
        <v>0</v>
      </c>
      <c r="H119" s="278">
        <v>0</v>
      </c>
      <c r="I119" s="278">
        <v>0</v>
      </c>
      <c r="J119" s="278">
        <v>4.3379952600793201</v>
      </c>
      <c r="K119" s="278">
        <v>4.4564202696846715</v>
      </c>
      <c r="L119" s="278">
        <v>4.5748452792900229</v>
      </c>
      <c r="M119" s="278">
        <v>4.6932702888953743</v>
      </c>
      <c r="N119" s="278">
        <v>4.8116952985007249</v>
      </c>
      <c r="O119" s="278">
        <v>4.9301203081060772</v>
      </c>
      <c r="P119" s="278">
        <v>5.0485453177114294</v>
      </c>
      <c r="Q119" s="278">
        <v>5.1669703273167809</v>
      </c>
      <c r="R119" s="278">
        <v>5.2853953369221314</v>
      </c>
      <c r="S119" s="278">
        <v>5.4038203465274837</v>
      </c>
    </row>
    <row r="120" spans="3:19" ht="39" x14ac:dyDescent="0.25">
      <c r="C120" s="288" t="s">
        <v>966</v>
      </c>
      <c r="D120" s="293" t="s">
        <v>438</v>
      </c>
      <c r="E120" s="288" t="s">
        <v>91</v>
      </c>
      <c r="F120" s="279">
        <v>0</v>
      </c>
      <c r="G120" s="279">
        <v>0</v>
      </c>
      <c r="H120" s="279">
        <v>0</v>
      </c>
      <c r="I120" s="279">
        <v>0</v>
      </c>
      <c r="J120" s="279">
        <v>19767.885752381946</v>
      </c>
      <c r="K120" s="279">
        <v>20307.538730255535</v>
      </c>
      <c r="L120" s="279">
        <v>20847.191708129125</v>
      </c>
      <c r="M120" s="279">
        <v>21386.844686002714</v>
      </c>
      <c r="N120" s="279">
        <v>21926.4976638763</v>
      </c>
      <c r="O120" s="279">
        <v>22466.150641749893</v>
      </c>
      <c r="P120" s="279">
        <v>23005.803619623486</v>
      </c>
      <c r="Q120" s="279">
        <v>23545.456597497076</v>
      </c>
      <c r="R120" s="279">
        <v>24085.109575370661</v>
      </c>
      <c r="S120" s="279">
        <v>24624.762553244254</v>
      </c>
    </row>
    <row r="121" spans="3:19" x14ac:dyDescent="0.25">
      <c r="C121" s="288" t="s">
        <v>967</v>
      </c>
      <c r="D121" s="294" t="s">
        <v>439</v>
      </c>
      <c r="E121" s="288" t="s">
        <v>122</v>
      </c>
      <c r="F121" s="280">
        <v>0</v>
      </c>
      <c r="G121" s="280">
        <v>0</v>
      </c>
      <c r="H121" s="280">
        <v>0</v>
      </c>
      <c r="I121" s="280">
        <v>0</v>
      </c>
      <c r="J121" s="280">
        <v>0.44140422458872342</v>
      </c>
      <c r="K121" s="280">
        <v>0.43782707664873521</v>
      </c>
      <c r="L121" s="280">
        <v>0.43448827102973914</v>
      </c>
      <c r="M121" s="280">
        <v>0.43136475490792681</v>
      </c>
      <c r="N121" s="280">
        <v>0.42843635554207693</v>
      </c>
      <c r="O121" s="280">
        <v>0.42568534412067377</v>
      </c>
      <c r="P121" s="280">
        <v>0.42309607653895687</v>
      </c>
      <c r="Q121" s="280">
        <v>0.42065469572734171</v>
      </c>
      <c r="R121" s="280">
        <v>0.41834888356850075</v>
      </c>
      <c r="S121" s="280">
        <v>0.41616765302574804</v>
      </c>
    </row>
    <row r="122" spans="3:19" ht="26.25" x14ac:dyDescent="0.25">
      <c r="C122" s="288" t="s">
        <v>968</v>
      </c>
      <c r="D122" s="295" t="s">
        <v>862</v>
      </c>
      <c r="E122" s="288" t="s">
        <v>118</v>
      </c>
      <c r="F122" s="281">
        <v>0</v>
      </c>
      <c r="G122" s="281">
        <v>0</v>
      </c>
      <c r="H122" s="281">
        <v>0</v>
      </c>
      <c r="I122" s="281">
        <v>0</v>
      </c>
      <c r="J122" s="281">
        <v>11.49302734292495</v>
      </c>
      <c r="K122" s="281">
        <v>10.926079335998466</v>
      </c>
      <c r="L122" s="281">
        <v>10.35824062304421</v>
      </c>
      <c r="M122" s="281">
        <v>9.7895973544740755</v>
      </c>
      <c r="N122" s="281">
        <v>9.220224917580282</v>
      </c>
      <c r="O122" s="281">
        <v>8.6501895664767261</v>
      </c>
      <c r="P122" s="281">
        <v>8.0795497645464671</v>
      </c>
      <c r="Q122" s="281">
        <v>7.5083572968663397</v>
      </c>
      <c r="R122" s="281">
        <v>6.9366581973144577</v>
      </c>
      <c r="S122" s="281">
        <v>6.364493525404562</v>
      </c>
    </row>
    <row r="123" spans="3:19" ht="26.25" x14ac:dyDescent="0.25">
      <c r="C123" s="288" t="s">
        <v>969</v>
      </c>
      <c r="D123" s="296" t="s">
        <v>864</v>
      </c>
      <c r="E123" s="288" t="s">
        <v>122</v>
      </c>
      <c r="F123" s="282">
        <v>0</v>
      </c>
      <c r="G123" s="282">
        <v>0</v>
      </c>
      <c r="H123" s="282">
        <v>0</v>
      </c>
      <c r="I123" s="282">
        <v>0</v>
      </c>
      <c r="J123" s="282">
        <v>0.33409963206177185</v>
      </c>
      <c r="K123" s="282">
        <v>0.31761858534879261</v>
      </c>
      <c r="L123" s="282">
        <v>0.30111164601872703</v>
      </c>
      <c r="M123" s="282">
        <v>0.28458131844401385</v>
      </c>
      <c r="N123" s="282">
        <v>0.26802979411570588</v>
      </c>
      <c r="O123" s="282">
        <v>0.25145899902548624</v>
      </c>
      <c r="P123" s="282">
        <v>0.23487063269030428</v>
      </c>
      <c r="Q123" s="282">
        <v>0.21826620049030057</v>
      </c>
      <c r="R123" s="282">
        <v>0.20164704061960634</v>
      </c>
      <c r="S123" s="282">
        <v>0.18501434666873728</v>
      </c>
    </row>
    <row r="124" spans="3:19" x14ac:dyDescent="0.25">
      <c r="C124" s="285" t="s">
        <v>1028</v>
      </c>
      <c r="D124" s="290" t="s">
        <v>970</v>
      </c>
      <c r="E124" s="287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2"/>
    </row>
    <row r="125" spans="3:19" ht="39" x14ac:dyDescent="0.25">
      <c r="C125" s="288" t="s">
        <v>971</v>
      </c>
      <c r="D125" s="291" t="s">
        <v>435</v>
      </c>
      <c r="E125" s="288" t="s">
        <v>436</v>
      </c>
      <c r="F125" s="283">
        <v>0</v>
      </c>
      <c r="G125" s="283">
        <v>0</v>
      </c>
      <c r="H125" s="283">
        <v>0</v>
      </c>
      <c r="I125" s="283">
        <v>0</v>
      </c>
      <c r="J125" s="283">
        <v>0</v>
      </c>
      <c r="K125" s="283">
        <v>155</v>
      </c>
      <c r="L125" s="283">
        <v>155</v>
      </c>
      <c r="M125" s="283">
        <v>155</v>
      </c>
      <c r="N125" s="283">
        <v>155</v>
      </c>
      <c r="O125" s="283">
        <v>155</v>
      </c>
      <c r="P125" s="283">
        <v>155</v>
      </c>
      <c r="Q125" s="283">
        <v>155</v>
      </c>
      <c r="R125" s="283">
        <v>155</v>
      </c>
      <c r="S125" s="283">
        <v>155</v>
      </c>
    </row>
    <row r="126" spans="3:19" ht="39" x14ac:dyDescent="0.25">
      <c r="C126" s="288" t="s">
        <v>972</v>
      </c>
      <c r="D126" s="292" t="s">
        <v>437</v>
      </c>
      <c r="E126" s="288" t="s">
        <v>858</v>
      </c>
      <c r="F126" s="278">
        <v>0</v>
      </c>
      <c r="G126" s="278">
        <v>0</v>
      </c>
      <c r="H126" s="278">
        <v>0</v>
      </c>
      <c r="I126" s="278">
        <v>0</v>
      </c>
      <c r="J126" s="278">
        <v>0</v>
      </c>
      <c r="K126" s="278">
        <v>2.6257072431777071</v>
      </c>
      <c r="L126" s="278">
        <v>2.6439365951735803</v>
      </c>
      <c r="M126" s="278">
        <v>2.6621659471694534</v>
      </c>
      <c r="N126" s="278">
        <v>2.6803952991653262</v>
      </c>
      <c r="O126" s="278">
        <v>2.6986246511611998</v>
      </c>
      <c r="P126" s="278">
        <v>2.7168540031570725</v>
      </c>
      <c r="Q126" s="278">
        <v>2.7350833551529456</v>
      </c>
      <c r="R126" s="278">
        <v>2.7533127071488184</v>
      </c>
      <c r="S126" s="278">
        <v>2.7715420591446915</v>
      </c>
    </row>
    <row r="127" spans="3:19" ht="39" x14ac:dyDescent="0.25">
      <c r="C127" s="288" t="s">
        <v>973</v>
      </c>
      <c r="D127" s="293" t="s">
        <v>438</v>
      </c>
      <c r="E127" s="288" t="s">
        <v>91</v>
      </c>
      <c r="F127" s="279">
        <v>0</v>
      </c>
      <c r="G127" s="279">
        <v>0</v>
      </c>
      <c r="H127" s="279">
        <v>0</v>
      </c>
      <c r="I127" s="279">
        <v>0</v>
      </c>
      <c r="J127" s="279">
        <v>0</v>
      </c>
      <c r="K127" s="279">
        <v>7808.5011981086373</v>
      </c>
      <c r="L127" s="279">
        <v>7862.7128461399889</v>
      </c>
      <c r="M127" s="279">
        <v>7916.9244941713396</v>
      </c>
      <c r="N127" s="279">
        <v>7971.1361422026903</v>
      </c>
      <c r="O127" s="279">
        <v>8025.3477902340419</v>
      </c>
      <c r="P127" s="279">
        <v>8079.5594382653917</v>
      </c>
      <c r="Q127" s="279">
        <v>8133.7710862967433</v>
      </c>
      <c r="R127" s="279">
        <v>8187.9827343280931</v>
      </c>
      <c r="S127" s="279">
        <v>8242.1943823594447</v>
      </c>
    </row>
    <row r="128" spans="3:19" x14ac:dyDescent="0.25">
      <c r="C128" s="288" t="s">
        <v>974</v>
      </c>
      <c r="D128" s="294" t="s">
        <v>439</v>
      </c>
      <c r="E128" s="288" t="s">
        <v>122</v>
      </c>
      <c r="F128" s="280">
        <v>0</v>
      </c>
      <c r="G128" s="280">
        <v>0</v>
      </c>
      <c r="H128" s="280">
        <v>0</v>
      </c>
      <c r="I128" s="280">
        <v>0</v>
      </c>
      <c r="J128" s="280">
        <v>0</v>
      </c>
      <c r="K128" s="280">
        <v>0.20938849994792297</v>
      </c>
      <c r="L128" s="280">
        <v>0.20926423829617702</v>
      </c>
      <c r="M128" s="280">
        <v>0.20914182280944907</v>
      </c>
      <c r="N128" s="280">
        <v>0.20902121264819165</v>
      </c>
      <c r="O128" s="280">
        <v>0.20890236816860455</v>
      </c>
      <c r="P128" s="280">
        <v>0.20878525087918967</v>
      </c>
      <c r="Q128" s="280">
        <v>0.20866982339918697</v>
      </c>
      <c r="R128" s="280">
        <v>0.20855604941879549</v>
      </c>
      <c r="S128" s="280">
        <v>0.20844389366109289</v>
      </c>
    </row>
    <row r="129" spans="3:19" ht="26.25" x14ac:dyDescent="0.25">
      <c r="C129" s="288" t="s">
        <v>975</v>
      </c>
      <c r="D129" s="295" t="s">
        <v>862</v>
      </c>
      <c r="E129" s="288" t="s">
        <v>118</v>
      </c>
      <c r="F129" s="281">
        <v>0</v>
      </c>
      <c r="G129" s="281">
        <v>0</v>
      </c>
      <c r="H129" s="281">
        <v>0</v>
      </c>
      <c r="I129" s="281">
        <v>0</v>
      </c>
      <c r="J129" s="281">
        <v>0</v>
      </c>
      <c r="K129" s="281">
        <v>13.826910850996111</v>
      </c>
      <c r="L129" s="281">
        <v>13.715616205391541</v>
      </c>
      <c r="M129" s="281">
        <v>13.604319590008586</v>
      </c>
      <c r="N129" s="281">
        <v>13.493021048421284</v>
      </c>
      <c r="O129" s="281">
        <v>13.381720622927851</v>
      </c>
      <c r="P129" s="281">
        <v>13.270418354597062</v>
      </c>
      <c r="Q129" s="281">
        <v>13.159114283312569</v>
      </c>
      <c r="R129" s="281">
        <v>13.047808447815363</v>
      </c>
      <c r="S129" s="281">
        <v>12.936500885744401</v>
      </c>
    </row>
    <row r="130" spans="3:19" ht="26.25" x14ac:dyDescent="0.25">
      <c r="C130" s="288" t="s">
        <v>976</v>
      </c>
      <c r="D130" s="296" t="s">
        <v>864</v>
      </c>
      <c r="E130" s="288" t="s">
        <v>122</v>
      </c>
      <c r="F130" s="282">
        <v>0</v>
      </c>
      <c r="G130" s="282">
        <v>0</v>
      </c>
      <c r="H130" s="282">
        <v>0</v>
      </c>
      <c r="I130" s="282">
        <v>0</v>
      </c>
      <c r="J130" s="282">
        <v>0</v>
      </c>
      <c r="K130" s="282">
        <v>0.45936580900319302</v>
      </c>
      <c r="L130" s="282">
        <v>0.45566831247147976</v>
      </c>
      <c r="M130" s="282">
        <v>0.45197075049862412</v>
      </c>
      <c r="N130" s="282">
        <v>0.44827312453226853</v>
      </c>
      <c r="O130" s="282">
        <v>0.44457543597766946</v>
      </c>
      <c r="P130" s="282">
        <v>0.44087768619923795</v>
      </c>
      <c r="Q130" s="282">
        <v>0.43717987652201223</v>
      </c>
      <c r="R130" s="282">
        <v>0.43348200823306854</v>
      </c>
      <c r="S130" s="282">
        <v>0.42978408258287043</v>
      </c>
    </row>
    <row r="131" spans="3:19" x14ac:dyDescent="0.25">
      <c r="C131" s="285" t="s">
        <v>1029</v>
      </c>
      <c r="D131" s="290" t="s">
        <v>977</v>
      </c>
      <c r="E131" s="287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2"/>
    </row>
    <row r="132" spans="3:19" ht="39" x14ac:dyDescent="0.25">
      <c r="C132" s="288" t="s">
        <v>978</v>
      </c>
      <c r="D132" s="291" t="s">
        <v>435</v>
      </c>
      <c r="E132" s="288" t="s">
        <v>436</v>
      </c>
      <c r="F132" s="283">
        <v>0</v>
      </c>
      <c r="G132" s="283">
        <v>0</v>
      </c>
      <c r="H132" s="283">
        <v>0</v>
      </c>
      <c r="I132" s="283">
        <v>0</v>
      </c>
      <c r="J132" s="283">
        <v>0</v>
      </c>
      <c r="K132" s="283">
        <v>0</v>
      </c>
      <c r="L132" s="283">
        <v>155</v>
      </c>
      <c r="M132" s="283">
        <v>155</v>
      </c>
      <c r="N132" s="283">
        <v>155</v>
      </c>
      <c r="O132" s="283">
        <v>155</v>
      </c>
      <c r="P132" s="283">
        <v>155</v>
      </c>
      <c r="Q132" s="283">
        <v>155</v>
      </c>
      <c r="R132" s="283">
        <v>155</v>
      </c>
      <c r="S132" s="283">
        <v>155</v>
      </c>
    </row>
    <row r="133" spans="3:19" ht="39" x14ac:dyDescent="0.25">
      <c r="C133" s="288" t="s">
        <v>979</v>
      </c>
      <c r="D133" s="292" t="s">
        <v>437</v>
      </c>
      <c r="E133" s="288" t="s">
        <v>858</v>
      </c>
      <c r="F133" s="278">
        <v>0</v>
      </c>
      <c r="G133" s="278">
        <v>0</v>
      </c>
      <c r="H133" s="278">
        <v>0</v>
      </c>
      <c r="I133" s="278">
        <v>0</v>
      </c>
      <c r="J133" s="278">
        <v>0</v>
      </c>
      <c r="K133" s="278">
        <v>0</v>
      </c>
      <c r="L133" s="278">
        <v>2.6878736579389546</v>
      </c>
      <c r="M133" s="278">
        <v>2.6918876702394203</v>
      </c>
      <c r="N133" s="278">
        <v>2.6959016825398856</v>
      </c>
      <c r="O133" s="278">
        <v>2.6999156948403513</v>
      </c>
      <c r="P133" s="278">
        <v>2.703929707140817</v>
      </c>
      <c r="Q133" s="278">
        <v>2.7079437194412828</v>
      </c>
      <c r="R133" s="278">
        <v>2.7119577317417489</v>
      </c>
      <c r="S133" s="278">
        <v>2.7159717440422146</v>
      </c>
    </row>
    <row r="134" spans="3:19" ht="39" x14ac:dyDescent="0.25">
      <c r="C134" s="288" t="s">
        <v>980</v>
      </c>
      <c r="D134" s="293" t="s">
        <v>438</v>
      </c>
      <c r="E134" s="288" t="s">
        <v>91</v>
      </c>
      <c r="F134" s="279">
        <v>0</v>
      </c>
      <c r="G134" s="279">
        <v>0</v>
      </c>
      <c r="H134" s="279">
        <v>0</v>
      </c>
      <c r="I134" s="279">
        <v>0</v>
      </c>
      <c r="J134" s="279">
        <v>0</v>
      </c>
      <c r="K134" s="279">
        <v>0</v>
      </c>
      <c r="L134" s="279">
        <v>6962.8599945917113</v>
      </c>
      <c r="M134" s="279">
        <v>6973.2581788896086</v>
      </c>
      <c r="N134" s="279">
        <v>6983.6563631875042</v>
      </c>
      <c r="O134" s="279">
        <v>6994.0545474854016</v>
      </c>
      <c r="P134" s="279">
        <v>7004.4527317832981</v>
      </c>
      <c r="Q134" s="279">
        <v>7014.8509160811955</v>
      </c>
      <c r="R134" s="279">
        <v>7025.2491003790929</v>
      </c>
      <c r="S134" s="279">
        <v>7035.6472846769902</v>
      </c>
    </row>
    <row r="135" spans="3:19" x14ac:dyDescent="0.25">
      <c r="C135" s="288" t="s">
        <v>981</v>
      </c>
      <c r="D135" s="294" t="s">
        <v>439</v>
      </c>
      <c r="E135" s="288" t="s">
        <v>122</v>
      </c>
      <c r="F135" s="280">
        <v>0</v>
      </c>
      <c r="G135" s="280">
        <v>0</v>
      </c>
      <c r="H135" s="280">
        <v>0</v>
      </c>
      <c r="I135" s="280">
        <v>0</v>
      </c>
      <c r="J135" s="280">
        <v>0</v>
      </c>
      <c r="K135" s="280">
        <v>0</v>
      </c>
      <c r="L135" s="280">
        <v>0.29770839928749893</v>
      </c>
      <c r="M135" s="280">
        <v>0.29654047783630105</v>
      </c>
      <c r="N135" s="280">
        <v>0.2953851214613552</v>
      </c>
      <c r="O135" s="280">
        <v>0.29424212847563452</v>
      </c>
      <c r="P135" s="280">
        <v>0.29311130148561743</v>
      </c>
      <c r="Q135" s="280">
        <v>0.29199244727764329</v>
      </c>
      <c r="R135" s="280">
        <v>0.29088537670785763</v>
      </c>
      <c r="S135" s="280">
        <v>0.2897899045956166</v>
      </c>
    </row>
    <row r="136" spans="3:19" ht="26.25" x14ac:dyDescent="0.25">
      <c r="C136" s="288" t="s">
        <v>982</v>
      </c>
      <c r="D136" s="295" t="s">
        <v>862</v>
      </c>
      <c r="E136" s="288" t="s">
        <v>118</v>
      </c>
      <c r="F136" s="281">
        <v>0</v>
      </c>
      <c r="G136" s="281">
        <v>0</v>
      </c>
      <c r="H136" s="281">
        <v>0</v>
      </c>
      <c r="I136" s="281">
        <v>0</v>
      </c>
      <c r="J136" s="281">
        <v>0</v>
      </c>
      <c r="K136" s="281">
        <v>0</v>
      </c>
      <c r="L136" s="281">
        <v>10.898980812122868</v>
      </c>
      <c r="M136" s="281">
        <v>10.892704513373257</v>
      </c>
      <c r="N136" s="281">
        <v>10.886353759566722</v>
      </c>
      <c r="O136" s="281">
        <v>10.879929745810932</v>
      </c>
      <c r="P136" s="281">
        <v>10.873433641772159</v>
      </c>
      <c r="Q136" s="281">
        <v>10.86686659234868</v>
      </c>
      <c r="R136" s="281">
        <v>10.860229718322904</v>
      </c>
      <c r="S136" s="281">
        <v>10.853524116993016</v>
      </c>
    </row>
    <row r="137" spans="3:19" ht="26.25" x14ac:dyDescent="0.25">
      <c r="C137" s="288" t="s">
        <v>983</v>
      </c>
      <c r="D137" s="296" t="s">
        <v>864</v>
      </c>
      <c r="E137" s="288" t="s">
        <v>122</v>
      </c>
      <c r="F137" s="282">
        <v>0</v>
      </c>
      <c r="G137" s="282">
        <v>0</v>
      </c>
      <c r="H137" s="282">
        <v>0</v>
      </c>
      <c r="I137" s="282">
        <v>0</v>
      </c>
      <c r="J137" s="282">
        <v>0</v>
      </c>
      <c r="K137" s="282">
        <v>0</v>
      </c>
      <c r="L137" s="282">
        <v>0.50692934009873802</v>
      </c>
      <c r="M137" s="282">
        <v>0.50663741922666317</v>
      </c>
      <c r="N137" s="282">
        <v>0.50634203532868471</v>
      </c>
      <c r="O137" s="282">
        <v>0.50604324399120615</v>
      </c>
      <c r="P137" s="282">
        <v>0.50574109961730973</v>
      </c>
      <c r="Q137" s="282">
        <v>0.50543565545807811</v>
      </c>
      <c r="R137" s="282">
        <v>0.50512696364292575</v>
      </c>
      <c r="S137" s="282">
        <v>0.5048150752089775</v>
      </c>
    </row>
    <row r="138" spans="3:19" x14ac:dyDescent="0.25">
      <c r="C138" s="285" t="s">
        <v>1030</v>
      </c>
      <c r="D138" s="290" t="s">
        <v>984</v>
      </c>
      <c r="E138" s="287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2"/>
    </row>
    <row r="139" spans="3:19" ht="39" x14ac:dyDescent="0.25">
      <c r="C139" s="288" t="s">
        <v>985</v>
      </c>
      <c r="D139" s="291" t="s">
        <v>435</v>
      </c>
      <c r="E139" s="288" t="s">
        <v>436</v>
      </c>
      <c r="F139" s="283">
        <v>0</v>
      </c>
      <c r="G139" s="283">
        <v>0</v>
      </c>
      <c r="H139" s="283">
        <v>0</v>
      </c>
      <c r="I139" s="283">
        <v>0</v>
      </c>
      <c r="J139" s="283">
        <v>155</v>
      </c>
      <c r="K139" s="283">
        <v>155</v>
      </c>
      <c r="L139" s="283">
        <v>155</v>
      </c>
      <c r="M139" s="283">
        <v>155</v>
      </c>
      <c r="N139" s="283">
        <v>155</v>
      </c>
      <c r="O139" s="283">
        <v>155</v>
      </c>
      <c r="P139" s="283">
        <v>155</v>
      </c>
      <c r="Q139" s="283">
        <v>155</v>
      </c>
      <c r="R139" s="283">
        <v>155</v>
      </c>
      <c r="S139" s="283">
        <v>155</v>
      </c>
    </row>
    <row r="140" spans="3:19" ht="39" x14ac:dyDescent="0.25">
      <c r="C140" s="288" t="s">
        <v>986</v>
      </c>
      <c r="D140" s="292" t="s">
        <v>437</v>
      </c>
      <c r="E140" s="288" t="s">
        <v>858</v>
      </c>
      <c r="F140" s="278">
        <v>0</v>
      </c>
      <c r="G140" s="278">
        <v>0</v>
      </c>
      <c r="H140" s="278">
        <v>0</v>
      </c>
      <c r="I140" s="278">
        <v>0</v>
      </c>
      <c r="J140" s="278">
        <v>3.0187414647223418</v>
      </c>
      <c r="K140" s="278">
        <v>3.0868933856023211</v>
      </c>
      <c r="L140" s="278">
        <v>3.1283040881869071</v>
      </c>
      <c r="M140" s="278">
        <v>3.1697147907714935</v>
      </c>
      <c r="N140" s="278">
        <v>3.21112549335608</v>
      </c>
      <c r="O140" s="278">
        <v>3.2525361959406656</v>
      </c>
      <c r="P140" s="278">
        <v>3.2939468985252529</v>
      </c>
      <c r="Q140" s="278">
        <v>3.3353576011098389</v>
      </c>
      <c r="R140" s="278">
        <v>3.3767683036944254</v>
      </c>
      <c r="S140" s="278">
        <v>3.4181790062790114</v>
      </c>
    </row>
    <row r="141" spans="3:19" ht="39" x14ac:dyDescent="0.25">
      <c r="C141" s="288" t="s">
        <v>987</v>
      </c>
      <c r="D141" s="293" t="s">
        <v>438</v>
      </c>
      <c r="E141" s="288" t="s">
        <v>91</v>
      </c>
      <c r="F141" s="279">
        <v>0</v>
      </c>
      <c r="G141" s="279">
        <v>0</v>
      </c>
      <c r="H141" s="279">
        <v>0</v>
      </c>
      <c r="I141" s="279">
        <v>0</v>
      </c>
      <c r="J141" s="279">
        <v>2937.9941411141849</v>
      </c>
      <c r="K141" s="279">
        <v>3004.3230886544052</v>
      </c>
      <c r="L141" s="279">
        <v>3044.6261099613744</v>
      </c>
      <c r="M141" s="279">
        <v>3084.929131268344</v>
      </c>
      <c r="N141" s="279">
        <v>3125.2321525753136</v>
      </c>
      <c r="O141" s="279">
        <v>3165.5351738822824</v>
      </c>
      <c r="P141" s="279">
        <v>3205.8381951892525</v>
      </c>
      <c r="Q141" s="279">
        <v>3246.1412164962217</v>
      </c>
      <c r="R141" s="279">
        <v>3286.4442378031913</v>
      </c>
      <c r="S141" s="279">
        <v>3326.7472591101605</v>
      </c>
    </row>
    <row r="142" spans="3:19" x14ac:dyDescent="0.25">
      <c r="C142" s="288" t="s">
        <v>988</v>
      </c>
      <c r="D142" s="294" t="s">
        <v>439</v>
      </c>
      <c r="E142" s="288" t="s">
        <v>122</v>
      </c>
      <c r="F142" s="280">
        <v>0</v>
      </c>
      <c r="G142" s="280">
        <v>0</v>
      </c>
      <c r="H142" s="280">
        <v>0</v>
      </c>
      <c r="I142" s="280">
        <v>0</v>
      </c>
      <c r="J142" s="280">
        <v>0.37508015714399434</v>
      </c>
      <c r="K142" s="280">
        <v>0.37596542402704031</v>
      </c>
      <c r="L142" s="280">
        <v>0.3764864398623613</v>
      </c>
      <c r="M142" s="280">
        <v>0.37699523191362883</v>
      </c>
      <c r="N142" s="280">
        <v>0.37749222537445942</v>
      </c>
      <c r="O142" s="280">
        <v>0.37797782594451346</v>
      </c>
      <c r="P142" s="280">
        <v>0.37845242093401532</v>
      </c>
      <c r="Q142" s="280">
        <v>0.37891638029401709</v>
      </c>
      <c r="R142" s="280">
        <v>0.37937005757816628</v>
      </c>
      <c r="S142" s="280">
        <v>0.37981379084122979</v>
      </c>
    </row>
    <row r="143" spans="3:19" ht="26.25" x14ac:dyDescent="0.25">
      <c r="C143" s="288" t="s">
        <v>989</v>
      </c>
      <c r="D143" s="295" t="s">
        <v>862</v>
      </c>
      <c r="E143" s="288" t="s">
        <v>118</v>
      </c>
      <c r="F143" s="281">
        <v>0</v>
      </c>
      <c r="G143" s="281">
        <v>0</v>
      </c>
      <c r="H143" s="281">
        <v>0</v>
      </c>
      <c r="I143" s="281">
        <v>0</v>
      </c>
      <c r="J143" s="281">
        <v>13.510222415029716</v>
      </c>
      <c r="K143" s="281">
        <v>13.424491920267489</v>
      </c>
      <c r="L143" s="281">
        <v>13.372394653025356</v>
      </c>
      <c r="M143" s="281">
        <v>13.320293469923616</v>
      </c>
      <c r="N143" s="281">
        <v>13.268188507172011</v>
      </c>
      <c r="O143" s="281">
        <v>13.216079894735445</v>
      </c>
      <c r="P143" s="281">
        <v>13.163967756687811</v>
      </c>
      <c r="Q143" s="281">
        <v>13.111852211542029</v>
      </c>
      <c r="R143" s="281">
        <v>13.059733372558156</v>
      </c>
      <c r="S143" s="281">
        <v>13.007611348031219</v>
      </c>
    </row>
    <row r="144" spans="3:19" ht="26.25" x14ac:dyDescent="0.25">
      <c r="C144" s="288" t="s">
        <v>990</v>
      </c>
      <c r="D144" s="296" t="s">
        <v>864</v>
      </c>
      <c r="E144" s="288" t="s">
        <v>122</v>
      </c>
      <c r="F144" s="282">
        <v>0</v>
      </c>
      <c r="G144" s="282">
        <v>0</v>
      </c>
      <c r="H144" s="282">
        <v>0</v>
      </c>
      <c r="I144" s="282">
        <v>0</v>
      </c>
      <c r="J144" s="282">
        <v>0.78547804738544869</v>
      </c>
      <c r="K144" s="282">
        <v>0.7804937162946215</v>
      </c>
      <c r="L144" s="282">
        <v>0.77746480540845098</v>
      </c>
      <c r="M144" s="282">
        <v>0.77443566685602416</v>
      </c>
      <c r="N144" s="282">
        <v>0.77140630855651227</v>
      </c>
      <c r="O144" s="282">
        <v>0.76837673806601425</v>
      </c>
      <c r="P144" s="282">
        <v>0.76534696259812851</v>
      </c>
      <c r="Q144" s="282">
        <v>0.76231698904314127</v>
      </c>
      <c r="R144" s="282">
        <v>0.75928682398593939</v>
      </c>
      <c r="S144" s="282">
        <v>0.75625647372274529</v>
      </c>
    </row>
    <row r="145" spans="3:19" x14ac:dyDescent="0.25">
      <c r="C145" s="285" t="s">
        <v>1031</v>
      </c>
      <c r="D145" s="290" t="s">
        <v>991</v>
      </c>
      <c r="E145" s="287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2"/>
    </row>
    <row r="146" spans="3:19" ht="39" x14ac:dyDescent="0.25">
      <c r="C146" s="288" t="s">
        <v>992</v>
      </c>
      <c r="D146" s="291" t="s">
        <v>435</v>
      </c>
      <c r="E146" s="288" t="s">
        <v>436</v>
      </c>
      <c r="F146" s="283">
        <v>0</v>
      </c>
      <c r="G146" s="283">
        <v>0</v>
      </c>
      <c r="H146" s="283">
        <v>0</v>
      </c>
      <c r="I146" s="283">
        <v>0</v>
      </c>
      <c r="J146" s="283">
        <v>0</v>
      </c>
      <c r="K146" s="283">
        <v>155</v>
      </c>
      <c r="L146" s="283">
        <v>155</v>
      </c>
      <c r="M146" s="283">
        <v>155</v>
      </c>
      <c r="N146" s="283">
        <v>155</v>
      </c>
      <c r="O146" s="283">
        <v>155</v>
      </c>
      <c r="P146" s="283">
        <v>155</v>
      </c>
      <c r="Q146" s="283">
        <v>155</v>
      </c>
      <c r="R146" s="283">
        <v>155</v>
      </c>
      <c r="S146" s="283">
        <v>155</v>
      </c>
    </row>
    <row r="147" spans="3:19" ht="39" x14ac:dyDescent="0.25">
      <c r="C147" s="288" t="s">
        <v>993</v>
      </c>
      <c r="D147" s="292" t="s">
        <v>437</v>
      </c>
      <c r="E147" s="288" t="s">
        <v>858</v>
      </c>
      <c r="F147" s="278">
        <v>0</v>
      </c>
      <c r="G147" s="278">
        <v>0</v>
      </c>
      <c r="H147" s="278">
        <v>0</v>
      </c>
      <c r="I147" s="278">
        <v>0</v>
      </c>
      <c r="J147" s="278">
        <v>0</v>
      </c>
      <c r="K147" s="278">
        <v>3.3882959377635422</v>
      </c>
      <c r="L147" s="278">
        <v>3.4729913982655698</v>
      </c>
      <c r="M147" s="278">
        <v>3.5576868587675969</v>
      </c>
      <c r="N147" s="278">
        <v>3.6423823192696236</v>
      </c>
      <c r="O147" s="278">
        <v>3.7270777797716517</v>
      </c>
      <c r="P147" s="278">
        <v>3.8117732402736784</v>
      </c>
      <c r="Q147" s="278">
        <v>3.8964687007757055</v>
      </c>
      <c r="R147" s="278">
        <v>3.9811641612777326</v>
      </c>
      <c r="S147" s="278">
        <v>4.0658596217797598</v>
      </c>
    </row>
    <row r="148" spans="3:19" ht="39" x14ac:dyDescent="0.25">
      <c r="C148" s="288" t="s">
        <v>994</v>
      </c>
      <c r="D148" s="293" t="s">
        <v>438</v>
      </c>
      <c r="E148" s="288" t="s">
        <v>91</v>
      </c>
      <c r="F148" s="279">
        <v>0</v>
      </c>
      <c r="G148" s="279">
        <v>0</v>
      </c>
      <c r="H148" s="279">
        <v>0</v>
      </c>
      <c r="I148" s="279">
        <v>0</v>
      </c>
      <c r="J148" s="279">
        <v>0</v>
      </c>
      <c r="K148" s="279">
        <v>11521.748423686975</v>
      </c>
      <c r="L148" s="279">
        <v>11809.751539842402</v>
      </c>
      <c r="M148" s="279">
        <v>12097.754655997829</v>
      </c>
      <c r="N148" s="279">
        <v>12385.757772153254</v>
      </c>
      <c r="O148" s="279">
        <v>12673.760888308683</v>
      </c>
      <c r="P148" s="279">
        <v>12961.764004464108</v>
      </c>
      <c r="Q148" s="279">
        <v>13249.767120619535</v>
      </c>
      <c r="R148" s="279">
        <v>13537.770236774963</v>
      </c>
      <c r="S148" s="279">
        <v>13825.773352930388</v>
      </c>
    </row>
    <row r="149" spans="3:19" x14ac:dyDescent="0.25">
      <c r="C149" s="288" t="s">
        <v>995</v>
      </c>
      <c r="D149" s="294" t="s">
        <v>439</v>
      </c>
      <c r="E149" s="288" t="s">
        <v>122</v>
      </c>
      <c r="F149" s="280">
        <v>0</v>
      </c>
      <c r="G149" s="280">
        <v>0</v>
      </c>
      <c r="H149" s="280">
        <v>0</v>
      </c>
      <c r="I149" s="280">
        <v>0</v>
      </c>
      <c r="J149" s="280">
        <v>0</v>
      </c>
      <c r="K149" s="280">
        <v>0.54073669965244042</v>
      </c>
      <c r="L149" s="280">
        <v>0.5372817539650937</v>
      </c>
      <c r="M149" s="280">
        <v>0.53403210566328652</v>
      </c>
      <c r="N149" s="280">
        <v>0.53096998416442587</v>
      </c>
      <c r="O149" s="280">
        <v>0.52807961233502776</v>
      </c>
      <c r="P149" s="280">
        <v>0.52534693459219028</v>
      </c>
      <c r="Q149" s="280">
        <v>0.52275938832635094</v>
      </c>
      <c r="R149" s="280">
        <v>0.52030571080091137</v>
      </c>
      <c r="S149" s="280">
        <v>0.5179757752667371</v>
      </c>
    </row>
    <row r="150" spans="3:19" ht="26.25" x14ac:dyDescent="0.25">
      <c r="C150" s="288" t="s">
        <v>996</v>
      </c>
      <c r="D150" s="295" t="s">
        <v>862</v>
      </c>
      <c r="E150" s="288" t="s">
        <v>118</v>
      </c>
      <c r="F150" s="281">
        <v>0</v>
      </c>
      <c r="G150" s="281">
        <v>0</v>
      </c>
      <c r="H150" s="281">
        <v>0</v>
      </c>
      <c r="I150" s="281">
        <v>0</v>
      </c>
      <c r="J150" s="281">
        <v>0</v>
      </c>
      <c r="K150" s="281">
        <v>10.240172812819786</v>
      </c>
      <c r="L150" s="281">
        <v>9.9845969610516239</v>
      </c>
      <c r="M150" s="281">
        <v>9.7287080467037406</v>
      </c>
      <c r="N150" s="281">
        <v>9.4725331685354135</v>
      </c>
      <c r="O150" s="281">
        <v>9.2160963854507258</v>
      </c>
      <c r="P150" s="281">
        <v>8.9594191311227522</v>
      </c>
      <c r="Q150" s="281">
        <v>8.7025205625560762</v>
      </c>
      <c r="R150" s="281">
        <v>8.4454178545499126</v>
      </c>
      <c r="S150" s="281">
        <v>8.1881264496107438</v>
      </c>
    </row>
    <row r="151" spans="3:19" ht="26.25" x14ac:dyDescent="0.25">
      <c r="C151" s="288" t="s">
        <v>997</v>
      </c>
      <c r="D151" s="296" t="s">
        <v>864</v>
      </c>
      <c r="E151" s="288" t="s">
        <v>122</v>
      </c>
      <c r="F151" s="282">
        <v>0</v>
      </c>
      <c r="G151" s="282">
        <v>0</v>
      </c>
      <c r="H151" s="282">
        <v>0</v>
      </c>
      <c r="I151" s="282">
        <v>0</v>
      </c>
      <c r="J151" s="282">
        <v>0</v>
      </c>
      <c r="K151" s="282">
        <v>0.47628710757301329</v>
      </c>
      <c r="L151" s="282">
        <v>0.46439985865356392</v>
      </c>
      <c r="M151" s="282">
        <v>0.45249804868389493</v>
      </c>
      <c r="N151" s="282">
        <v>0.44058293807141458</v>
      </c>
      <c r="O151" s="282">
        <v>0.4286556458349175</v>
      </c>
      <c r="P151" s="282">
        <v>0.41671716888943033</v>
      </c>
      <c r="Q151" s="282">
        <v>0.40476839825842215</v>
      </c>
      <c r="R151" s="282">
        <v>0.3928101327697634</v>
      </c>
      <c r="S151" s="282">
        <v>0.38084309067956945</v>
      </c>
    </row>
    <row r="152" spans="3:19" x14ac:dyDescent="0.25">
      <c r="C152" s="285" t="s">
        <v>1032</v>
      </c>
      <c r="D152" s="290" t="s">
        <v>998</v>
      </c>
      <c r="E152" s="287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2"/>
    </row>
    <row r="153" spans="3:19" ht="39" x14ac:dyDescent="0.25">
      <c r="C153" s="288" t="s">
        <v>999</v>
      </c>
      <c r="D153" s="291" t="s">
        <v>435</v>
      </c>
      <c r="E153" s="288" t="s">
        <v>436</v>
      </c>
      <c r="F153" s="283">
        <v>0</v>
      </c>
      <c r="G153" s="283">
        <v>0</v>
      </c>
      <c r="H153" s="283">
        <v>0</v>
      </c>
      <c r="I153" s="283">
        <v>0</v>
      </c>
      <c r="J153" s="283">
        <v>0</v>
      </c>
      <c r="K153" s="283">
        <v>0</v>
      </c>
      <c r="L153" s="283">
        <v>0</v>
      </c>
      <c r="M153" s="283">
        <v>0</v>
      </c>
      <c r="N153" s="283">
        <v>155</v>
      </c>
      <c r="O153" s="283">
        <v>155</v>
      </c>
      <c r="P153" s="283">
        <v>155</v>
      </c>
      <c r="Q153" s="283">
        <v>155</v>
      </c>
      <c r="R153" s="283">
        <v>155</v>
      </c>
      <c r="S153" s="283">
        <v>155</v>
      </c>
    </row>
    <row r="154" spans="3:19" ht="39" x14ac:dyDescent="0.25">
      <c r="C154" s="288" t="s">
        <v>1000</v>
      </c>
      <c r="D154" s="292" t="s">
        <v>437</v>
      </c>
      <c r="E154" s="288" t="s">
        <v>858</v>
      </c>
      <c r="F154" s="278">
        <v>0</v>
      </c>
      <c r="G154" s="278">
        <v>0</v>
      </c>
      <c r="H154" s="278">
        <v>0</v>
      </c>
      <c r="I154" s="278">
        <v>0</v>
      </c>
      <c r="J154" s="278">
        <v>0</v>
      </c>
      <c r="K154" s="278">
        <v>0</v>
      </c>
      <c r="L154" s="278">
        <v>0</v>
      </c>
      <c r="M154" s="278">
        <v>0</v>
      </c>
      <c r="N154" s="278">
        <v>1.8070124115413935</v>
      </c>
      <c r="O154" s="278">
        <v>1.8510054627311239</v>
      </c>
      <c r="P154" s="278">
        <v>1.8949985139208547</v>
      </c>
      <c r="Q154" s="278">
        <v>1.9389915651105856</v>
      </c>
      <c r="R154" s="278">
        <v>1.9829846163003162</v>
      </c>
      <c r="S154" s="278">
        <v>2.0269776674900468</v>
      </c>
    </row>
    <row r="155" spans="3:19" ht="39" x14ac:dyDescent="0.25">
      <c r="C155" s="288" t="s">
        <v>1001</v>
      </c>
      <c r="D155" s="293" t="s">
        <v>438</v>
      </c>
      <c r="E155" s="288" t="s">
        <v>91</v>
      </c>
      <c r="F155" s="279">
        <v>0</v>
      </c>
      <c r="G155" s="279">
        <v>0</v>
      </c>
      <c r="H155" s="279">
        <v>0</v>
      </c>
      <c r="I155" s="279">
        <v>0</v>
      </c>
      <c r="J155" s="279">
        <v>0</v>
      </c>
      <c r="K155" s="279">
        <v>0</v>
      </c>
      <c r="L155" s="279">
        <v>0</v>
      </c>
      <c r="M155" s="279">
        <v>0</v>
      </c>
      <c r="N155" s="279">
        <v>3343.0345874221616</v>
      </c>
      <c r="O155" s="279">
        <v>3424.4232324553468</v>
      </c>
      <c r="P155" s="279">
        <v>3505.8118774885329</v>
      </c>
      <c r="Q155" s="279">
        <v>3587.200522521719</v>
      </c>
      <c r="R155" s="279">
        <v>3668.5891675549046</v>
      </c>
      <c r="S155" s="279">
        <v>3749.9778125880898</v>
      </c>
    </row>
    <row r="156" spans="3:19" x14ac:dyDescent="0.25">
      <c r="C156" s="288" t="s">
        <v>1002</v>
      </c>
      <c r="D156" s="294" t="s">
        <v>439</v>
      </c>
      <c r="E156" s="288" t="s">
        <v>122</v>
      </c>
      <c r="F156" s="280">
        <v>0</v>
      </c>
      <c r="G156" s="280">
        <v>0</v>
      </c>
      <c r="H156" s="280">
        <v>0</v>
      </c>
      <c r="I156" s="280">
        <v>0</v>
      </c>
      <c r="J156" s="280">
        <v>0</v>
      </c>
      <c r="K156" s="280">
        <v>0</v>
      </c>
      <c r="L156" s="280">
        <v>0</v>
      </c>
      <c r="M156" s="280">
        <v>0</v>
      </c>
      <c r="N156" s="280">
        <v>0.11489155641163563</v>
      </c>
      <c r="O156" s="280">
        <v>0.11441168853661976</v>
      </c>
      <c r="P156" s="280">
        <v>0.11395782012365425</v>
      </c>
      <c r="Q156" s="280">
        <v>0.11352789391024522</v>
      </c>
      <c r="R156" s="280">
        <v>0.11312006410324735</v>
      </c>
      <c r="S156" s="280">
        <v>0.11273266988802648</v>
      </c>
    </row>
    <row r="157" spans="3:19" ht="26.25" x14ac:dyDescent="0.25">
      <c r="C157" s="288" t="s">
        <v>1003</v>
      </c>
      <c r="D157" s="295" t="s">
        <v>862</v>
      </c>
      <c r="E157" s="288" t="s">
        <v>118</v>
      </c>
      <c r="F157" s="281">
        <v>0</v>
      </c>
      <c r="G157" s="281">
        <v>0</v>
      </c>
      <c r="H157" s="281">
        <v>0</v>
      </c>
      <c r="I157" s="281">
        <v>0</v>
      </c>
      <c r="J157" s="281">
        <v>0</v>
      </c>
      <c r="K157" s="281">
        <v>0</v>
      </c>
      <c r="L157" s="281">
        <v>0</v>
      </c>
      <c r="M157" s="281">
        <v>0</v>
      </c>
      <c r="N157" s="281">
        <v>11.141441217178871</v>
      </c>
      <c r="O157" s="281">
        <v>10.893821497802511</v>
      </c>
      <c r="P157" s="281">
        <v>10.646165543739512</v>
      </c>
      <c r="Q157" s="281">
        <v>10.398476222136189</v>
      </c>
      <c r="R157" s="281">
        <v>10.150756105420234</v>
      </c>
      <c r="S157" s="281">
        <v>9.9030075082202291</v>
      </c>
    </row>
    <row r="158" spans="3:19" ht="26.25" x14ac:dyDescent="0.25">
      <c r="C158" s="288" t="s">
        <v>1004</v>
      </c>
      <c r="D158" s="296" t="s">
        <v>864</v>
      </c>
      <c r="E158" s="288" t="s">
        <v>122</v>
      </c>
      <c r="F158" s="282">
        <v>0</v>
      </c>
      <c r="G158" s="282">
        <v>0</v>
      </c>
      <c r="H158" s="282">
        <v>0</v>
      </c>
      <c r="I158" s="282">
        <v>0</v>
      </c>
      <c r="J158" s="282">
        <v>0</v>
      </c>
      <c r="K158" s="282">
        <v>0</v>
      </c>
      <c r="L158" s="282">
        <v>0</v>
      </c>
      <c r="M158" s="282">
        <v>0</v>
      </c>
      <c r="N158" s="282">
        <v>0.51820656824087774</v>
      </c>
      <c r="O158" s="282">
        <v>0.50668937199081443</v>
      </c>
      <c r="P158" s="282">
        <v>0.49517049040648892</v>
      </c>
      <c r="Q158" s="282">
        <v>0.48365005684354367</v>
      </c>
      <c r="R158" s="282">
        <v>0.47212819094977831</v>
      </c>
      <c r="S158" s="282">
        <v>0.46060500038233626</v>
      </c>
    </row>
    <row r="159" spans="3:19" x14ac:dyDescent="0.25">
      <c r="C159" s="285" t="s">
        <v>1033</v>
      </c>
      <c r="D159" s="290" t="s">
        <v>1005</v>
      </c>
      <c r="E159" s="287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2"/>
    </row>
    <row r="160" spans="3:19" ht="39" x14ac:dyDescent="0.25">
      <c r="C160" s="288" t="s">
        <v>1006</v>
      </c>
      <c r="D160" s="291" t="s">
        <v>435</v>
      </c>
      <c r="E160" s="288" t="s">
        <v>436</v>
      </c>
      <c r="F160" s="283">
        <v>0</v>
      </c>
      <c r="G160" s="283">
        <v>0</v>
      </c>
      <c r="H160" s="283">
        <v>0</v>
      </c>
      <c r="I160" s="283">
        <v>0</v>
      </c>
      <c r="J160" s="283">
        <v>0</v>
      </c>
      <c r="K160" s="283">
        <v>0</v>
      </c>
      <c r="L160" s="283">
        <v>155</v>
      </c>
      <c r="M160" s="283">
        <v>155</v>
      </c>
      <c r="N160" s="283">
        <v>155</v>
      </c>
      <c r="O160" s="283">
        <v>155</v>
      </c>
      <c r="P160" s="283">
        <v>155</v>
      </c>
      <c r="Q160" s="283">
        <v>155</v>
      </c>
      <c r="R160" s="283">
        <v>155</v>
      </c>
      <c r="S160" s="283">
        <v>155</v>
      </c>
    </row>
    <row r="161" spans="3:19" ht="39" x14ac:dyDescent="0.25">
      <c r="C161" s="288" t="s">
        <v>1007</v>
      </c>
      <c r="D161" s="292" t="s">
        <v>437</v>
      </c>
      <c r="E161" s="288" t="s">
        <v>858</v>
      </c>
      <c r="F161" s="278">
        <v>0</v>
      </c>
      <c r="G161" s="278">
        <v>0</v>
      </c>
      <c r="H161" s="278">
        <v>0</v>
      </c>
      <c r="I161" s="278">
        <v>0</v>
      </c>
      <c r="J161" s="278">
        <v>0</v>
      </c>
      <c r="K161" s="278">
        <v>0</v>
      </c>
      <c r="L161" s="278">
        <v>11.536358552008988</v>
      </c>
      <c r="M161" s="278">
        <v>12.285078531561707</v>
      </c>
      <c r="N161" s="278">
        <v>12.422475653547254</v>
      </c>
      <c r="O161" s="278">
        <v>12.559872775532801</v>
      </c>
      <c r="P161" s="278">
        <v>12.697269897518346</v>
      </c>
      <c r="Q161" s="278">
        <v>12.834667019503893</v>
      </c>
      <c r="R161" s="278">
        <v>12.97206414148944</v>
      </c>
      <c r="S161" s="278">
        <v>13.109461263474987</v>
      </c>
    </row>
    <row r="162" spans="3:19" ht="39" x14ac:dyDescent="0.25">
      <c r="C162" s="288" t="s">
        <v>1008</v>
      </c>
      <c r="D162" s="293" t="s">
        <v>438</v>
      </c>
      <c r="E162" s="288" t="s">
        <v>91</v>
      </c>
      <c r="F162" s="279">
        <v>0</v>
      </c>
      <c r="G162" s="279">
        <v>0</v>
      </c>
      <c r="H162" s="279">
        <v>0</v>
      </c>
      <c r="I162" s="279">
        <v>0</v>
      </c>
      <c r="J162" s="279">
        <v>0</v>
      </c>
      <c r="K162" s="279">
        <v>0</v>
      </c>
      <c r="L162" s="279">
        <v>2413.8266610059545</v>
      </c>
      <c r="M162" s="279">
        <v>2570.4861684340985</v>
      </c>
      <c r="N162" s="279">
        <v>2599.2346539028035</v>
      </c>
      <c r="O162" s="279">
        <v>2627.9831393715085</v>
      </c>
      <c r="P162" s="279">
        <v>2656.731624840213</v>
      </c>
      <c r="Q162" s="279">
        <v>2685.480110308918</v>
      </c>
      <c r="R162" s="279">
        <v>2714.228595777623</v>
      </c>
      <c r="S162" s="279">
        <v>2742.977081246328</v>
      </c>
    </row>
    <row r="163" spans="3:19" x14ac:dyDescent="0.25">
      <c r="C163" s="288" t="s">
        <v>1009</v>
      </c>
      <c r="D163" s="294" t="s">
        <v>439</v>
      </c>
      <c r="E163" s="288" t="s">
        <v>122</v>
      </c>
      <c r="F163" s="280">
        <v>0</v>
      </c>
      <c r="G163" s="280">
        <v>0</v>
      </c>
      <c r="H163" s="280">
        <v>0</v>
      </c>
      <c r="I163" s="280">
        <v>0</v>
      </c>
      <c r="J163" s="280">
        <v>0</v>
      </c>
      <c r="K163" s="280">
        <v>0</v>
      </c>
      <c r="L163" s="280">
        <v>0.17557952558511131</v>
      </c>
      <c r="M163" s="280">
        <v>0.17290266706397994</v>
      </c>
      <c r="N163" s="280">
        <v>0.17277760206256251</v>
      </c>
      <c r="O163" s="280">
        <v>0.17265544823378706</v>
      </c>
      <c r="P163" s="280">
        <v>0.17253610510081066</v>
      </c>
      <c r="Q163" s="280">
        <v>0.17241947675803868</v>
      </c>
      <c r="R163" s="280">
        <v>0.17230547161408405</v>
      </c>
      <c r="S163" s="280">
        <v>0.17219400215187783</v>
      </c>
    </row>
    <row r="164" spans="3:19" ht="26.25" x14ac:dyDescent="0.25">
      <c r="C164" s="288" t="s">
        <v>1010</v>
      </c>
      <c r="D164" s="295" t="s">
        <v>862</v>
      </c>
      <c r="E164" s="288" t="s">
        <v>118</v>
      </c>
      <c r="F164" s="281">
        <v>0</v>
      </c>
      <c r="G164" s="281">
        <v>0</v>
      </c>
      <c r="H164" s="281">
        <v>0</v>
      </c>
      <c r="I164" s="281">
        <v>0</v>
      </c>
      <c r="J164" s="281">
        <v>0</v>
      </c>
      <c r="K164" s="281">
        <v>0</v>
      </c>
      <c r="L164" s="281">
        <v>2.9940836817589078</v>
      </c>
      <c r="M164" s="281">
        <v>2.6975775461956362</v>
      </c>
      <c r="N164" s="281">
        <v>2.6417264434806187</v>
      </c>
      <c r="O164" s="281">
        <v>2.5858745720018437</v>
      </c>
      <c r="P164" s="281">
        <v>2.5300219582925898</v>
      </c>
      <c r="Q164" s="281">
        <v>2.4741686276789885</v>
      </c>
      <c r="R164" s="281">
        <v>2.4183146043479056</v>
      </c>
      <c r="S164" s="281">
        <v>2.3624599114102853</v>
      </c>
    </row>
    <row r="165" spans="3:19" ht="26.25" x14ac:dyDescent="0.25">
      <c r="C165" s="288" t="s">
        <v>1011</v>
      </c>
      <c r="D165" s="296" t="s">
        <v>864</v>
      </c>
      <c r="E165" s="288" t="s">
        <v>122</v>
      </c>
      <c r="F165" s="282">
        <v>0</v>
      </c>
      <c r="G165" s="282">
        <v>0</v>
      </c>
      <c r="H165" s="282">
        <v>0</v>
      </c>
      <c r="I165" s="282">
        <v>0</v>
      </c>
      <c r="J165" s="282">
        <v>0</v>
      </c>
      <c r="K165" s="282">
        <v>0</v>
      </c>
      <c r="L165" s="282">
        <v>0.38683251702311472</v>
      </c>
      <c r="M165" s="282">
        <v>0.34852423077462996</v>
      </c>
      <c r="N165" s="282">
        <v>0.34130832603108768</v>
      </c>
      <c r="O165" s="282">
        <v>0.33409232196406247</v>
      </c>
      <c r="P165" s="282">
        <v>0.32687622200162658</v>
      </c>
      <c r="Q165" s="282">
        <v>0.31966002941589</v>
      </c>
      <c r="R165" s="282">
        <v>0.31244374733177072</v>
      </c>
      <c r="S165" s="282">
        <v>0.30522737873517897</v>
      </c>
    </row>
    <row r="166" spans="3:19" ht="26.25" x14ac:dyDescent="0.25">
      <c r="C166" s="285" t="s">
        <v>1012</v>
      </c>
      <c r="D166" s="286" t="s">
        <v>124</v>
      </c>
      <c r="E166" s="287"/>
      <c r="F166" s="274"/>
      <c r="G166" s="274"/>
      <c r="H166" s="274"/>
      <c r="I166" s="274"/>
      <c r="J166" s="274"/>
      <c r="K166" s="274"/>
      <c r="L166" s="274"/>
      <c r="M166" s="274"/>
      <c r="N166" s="274"/>
      <c r="O166" s="274"/>
      <c r="P166" s="274"/>
      <c r="Q166" s="274"/>
      <c r="R166" s="274"/>
      <c r="S166" s="275"/>
    </row>
    <row r="167" spans="3:19" x14ac:dyDescent="0.25">
      <c r="C167" s="288" t="s">
        <v>264</v>
      </c>
      <c r="D167" s="289" t="s">
        <v>441</v>
      </c>
      <c r="E167" s="288" t="s">
        <v>122</v>
      </c>
      <c r="F167" s="278">
        <v>0</v>
      </c>
      <c r="G167" s="278">
        <v>0</v>
      </c>
      <c r="H167" s="278">
        <v>0</v>
      </c>
      <c r="I167" s="278">
        <v>0</v>
      </c>
      <c r="J167" s="278">
        <v>0</v>
      </c>
      <c r="K167" s="278">
        <v>0</v>
      </c>
      <c r="L167" s="278">
        <v>0</v>
      </c>
      <c r="M167" s="278">
        <v>0</v>
      </c>
      <c r="N167" s="278">
        <v>0</v>
      </c>
      <c r="O167" s="278">
        <v>0</v>
      </c>
      <c r="P167" s="278">
        <v>0</v>
      </c>
      <c r="Q167" s="278">
        <v>0</v>
      </c>
      <c r="R167" s="278">
        <v>0</v>
      </c>
      <c r="S167" s="278">
        <v>0</v>
      </c>
    </row>
    <row r="168" spans="3:19" x14ac:dyDescent="0.25">
      <c r="C168" s="285" t="s">
        <v>1013</v>
      </c>
      <c r="D168" s="286" t="s">
        <v>368</v>
      </c>
      <c r="E168" s="287"/>
      <c r="F168" s="274"/>
      <c r="G168" s="274"/>
      <c r="H168" s="274"/>
      <c r="I168" s="274"/>
      <c r="J168" s="274"/>
      <c r="K168" s="274"/>
      <c r="L168" s="274"/>
      <c r="M168" s="274"/>
      <c r="N168" s="274"/>
      <c r="O168" s="274"/>
      <c r="P168" s="274"/>
      <c r="Q168" s="274"/>
      <c r="R168" s="274"/>
      <c r="S168" s="275"/>
    </row>
    <row r="169" spans="3:19" x14ac:dyDescent="0.25">
      <c r="C169" s="288" t="s">
        <v>265</v>
      </c>
      <c r="D169" s="289" t="s">
        <v>1014</v>
      </c>
      <c r="E169" s="288" t="s">
        <v>122</v>
      </c>
      <c r="F169" s="278">
        <v>0</v>
      </c>
      <c r="G169" s="278">
        <v>0</v>
      </c>
      <c r="H169" s="278">
        <v>0</v>
      </c>
      <c r="I169" s="278">
        <v>0</v>
      </c>
      <c r="J169" s="278">
        <v>0</v>
      </c>
      <c r="K169" s="278">
        <v>0</v>
      </c>
      <c r="L169" s="278">
        <v>0</v>
      </c>
      <c r="M169" s="278">
        <v>0</v>
      </c>
      <c r="N169" s="278">
        <v>0</v>
      </c>
      <c r="O169" s="278">
        <v>0</v>
      </c>
      <c r="P169" s="278">
        <v>0</v>
      </c>
      <c r="Q169" s="278">
        <v>0</v>
      </c>
      <c r="R169" s="278">
        <v>0</v>
      </c>
      <c r="S169" s="278">
        <v>0</v>
      </c>
    </row>
    <row r="170" spans="3:19" x14ac:dyDescent="0.25">
      <c r="C170" s="404" t="s">
        <v>205</v>
      </c>
      <c r="D170" s="404"/>
      <c r="E170" s="404"/>
      <c r="F170" s="404"/>
      <c r="G170" s="404"/>
      <c r="H170" s="404"/>
      <c r="I170" s="404"/>
      <c r="J170" s="404"/>
      <c r="K170" s="404"/>
      <c r="L170" s="404"/>
      <c r="M170" s="404"/>
      <c r="N170" s="404"/>
      <c r="O170" s="404"/>
      <c r="P170" s="404"/>
      <c r="Q170" s="404"/>
      <c r="R170" s="404"/>
      <c r="S170" s="404"/>
    </row>
    <row r="171" spans="3:19" x14ac:dyDescent="0.25">
      <c r="C171" s="404"/>
      <c r="D171" s="404"/>
      <c r="E171" s="404"/>
      <c r="F171" s="404"/>
      <c r="G171" s="404"/>
      <c r="H171" s="404"/>
      <c r="I171" s="404"/>
      <c r="J171" s="404"/>
      <c r="K171" s="404"/>
      <c r="L171" s="404"/>
      <c r="M171" s="404"/>
      <c r="N171" s="404"/>
      <c r="O171" s="404"/>
      <c r="P171" s="404"/>
      <c r="Q171" s="404"/>
      <c r="R171" s="404"/>
      <c r="S171" s="404"/>
    </row>
    <row r="172" spans="3:19" x14ac:dyDescent="0.25">
      <c r="C172" s="25" t="s">
        <v>36</v>
      </c>
      <c r="D172" s="25" t="s">
        <v>135</v>
      </c>
      <c r="E172" s="25" t="s">
        <v>369</v>
      </c>
      <c r="F172" s="170">
        <v>2022</v>
      </c>
      <c r="G172" s="170">
        <v>2023</v>
      </c>
      <c r="H172" s="170">
        <v>2024</v>
      </c>
      <c r="I172" s="170">
        <v>2025</v>
      </c>
      <c r="J172" s="170">
        <v>2026</v>
      </c>
      <c r="K172" s="170">
        <v>2027</v>
      </c>
      <c r="L172" s="170">
        <v>2028</v>
      </c>
      <c r="M172" s="170">
        <v>2029</v>
      </c>
      <c r="N172" s="170">
        <v>2030</v>
      </c>
      <c r="O172" s="170">
        <v>2031</v>
      </c>
      <c r="P172" s="170">
        <v>2032</v>
      </c>
      <c r="Q172" s="170">
        <v>2033</v>
      </c>
      <c r="R172" s="170">
        <v>2034</v>
      </c>
      <c r="S172" s="170">
        <v>2035</v>
      </c>
    </row>
    <row r="173" spans="3:19" x14ac:dyDescent="0.25">
      <c r="C173" s="4" t="s">
        <v>229</v>
      </c>
      <c r="D173" s="212" t="s">
        <v>576</v>
      </c>
      <c r="E173" s="108"/>
      <c r="F173" s="184"/>
      <c r="G173" s="184"/>
      <c r="H173" s="184"/>
      <c r="I173" s="184"/>
      <c r="J173" s="184"/>
      <c r="K173" s="235"/>
      <c r="L173" s="235"/>
      <c r="M173" s="235"/>
      <c r="N173" s="235"/>
      <c r="O173" s="235"/>
      <c r="P173" s="235"/>
      <c r="Q173" s="235"/>
      <c r="R173" s="235"/>
      <c r="S173" s="235"/>
    </row>
    <row r="174" spans="3:19" x14ac:dyDescent="0.25">
      <c r="C174" s="4" t="s">
        <v>231</v>
      </c>
      <c r="D174" s="212" t="s">
        <v>577</v>
      </c>
      <c r="E174" s="108" t="s">
        <v>578</v>
      </c>
      <c r="F174" s="231">
        <v>66.26642600000001</v>
      </c>
      <c r="G174" s="231">
        <v>67.402927697316983</v>
      </c>
      <c r="H174" s="231">
        <v>67.978813080698473</v>
      </c>
      <c r="I174" s="231">
        <v>69.739007750060168</v>
      </c>
      <c r="J174" s="231">
        <v>72.365319319108877</v>
      </c>
      <c r="K174" s="236">
        <v>72.752146493266125</v>
      </c>
      <c r="L174" s="236">
        <v>74.67973458502658</v>
      </c>
      <c r="M174" s="236">
        <v>76.855990618692218</v>
      </c>
      <c r="N174" s="236">
        <v>78.408473618586754</v>
      </c>
      <c r="O174" s="236">
        <v>80.389213398550794</v>
      </c>
      <c r="P174" s="236">
        <v>82.369953178514862</v>
      </c>
      <c r="Q174" s="236">
        <v>84.350692958478902</v>
      </c>
      <c r="R174" s="236">
        <v>86.331432738442942</v>
      </c>
      <c r="S174" s="236">
        <v>88.312172518406996</v>
      </c>
    </row>
    <row r="175" spans="3:19" x14ac:dyDescent="0.25">
      <c r="C175" s="4" t="s">
        <v>234</v>
      </c>
      <c r="D175" s="212" t="s">
        <v>579</v>
      </c>
      <c r="E175" s="108" t="s">
        <v>442</v>
      </c>
      <c r="F175" s="228">
        <v>0</v>
      </c>
      <c r="G175" s="232">
        <v>1136.5016973169732</v>
      </c>
      <c r="H175" s="232">
        <v>575.88538338148965</v>
      </c>
      <c r="I175" s="228">
        <v>1760.1946693616951</v>
      </c>
      <c r="J175" s="228">
        <v>2626.3115690487098</v>
      </c>
      <c r="K175" s="237">
        <v>386.8271741572471</v>
      </c>
      <c r="L175" s="237">
        <v>1927.5880917604554</v>
      </c>
      <c r="M175" s="237">
        <v>2176.2560336656379</v>
      </c>
      <c r="N175" s="237">
        <v>1552.4829998945365</v>
      </c>
      <c r="O175" s="237">
        <v>1980.7397799640398</v>
      </c>
      <c r="P175" s="237">
        <v>1980.7397799640682</v>
      </c>
      <c r="Q175" s="237">
        <v>1980.7397799640398</v>
      </c>
      <c r="R175" s="237">
        <v>1980.7397799640398</v>
      </c>
      <c r="S175" s="237">
        <v>1980.7397799640539</v>
      </c>
    </row>
    <row r="176" spans="3:19" ht="25.5" x14ac:dyDescent="0.25">
      <c r="C176" s="4" t="s">
        <v>239</v>
      </c>
      <c r="D176" s="212" t="s">
        <v>580</v>
      </c>
      <c r="E176" s="108" t="s">
        <v>122</v>
      </c>
      <c r="F176" s="233">
        <v>0.9820000000000001</v>
      </c>
      <c r="G176" s="233">
        <v>0.9820000000000001</v>
      </c>
      <c r="H176" s="233">
        <v>0.9820000000000001</v>
      </c>
      <c r="I176" s="233">
        <v>0.9820000000000001</v>
      </c>
      <c r="J176" s="233">
        <v>0.98380000000000012</v>
      </c>
      <c r="K176" s="238">
        <v>0.98560000000000014</v>
      </c>
      <c r="L176" s="238">
        <v>0.98740000000000017</v>
      </c>
      <c r="M176" s="238">
        <v>0.98920000000000019</v>
      </c>
      <c r="N176" s="238">
        <v>0.9910000000000001</v>
      </c>
      <c r="O176" s="238">
        <v>0.99280000000000013</v>
      </c>
      <c r="P176" s="238">
        <v>0.99460000000000015</v>
      </c>
      <c r="Q176" s="238">
        <v>0.99640000000000006</v>
      </c>
      <c r="R176" s="238">
        <v>0.99819999999999998</v>
      </c>
      <c r="S176" s="238">
        <v>1</v>
      </c>
    </row>
    <row r="177" spans="3:19" x14ac:dyDescent="0.25">
      <c r="C177" s="4" t="s">
        <v>591</v>
      </c>
      <c r="D177" s="212" t="s">
        <v>440</v>
      </c>
      <c r="E177" s="108"/>
      <c r="F177" s="189"/>
      <c r="G177" s="189"/>
      <c r="H177" s="189"/>
      <c r="I177" s="189"/>
      <c r="J177" s="189"/>
      <c r="K177" s="235"/>
      <c r="L177" s="235"/>
      <c r="M177" s="235"/>
      <c r="N177" s="235"/>
      <c r="O177" s="235"/>
      <c r="P177" s="235"/>
      <c r="Q177" s="235"/>
      <c r="R177" s="235"/>
      <c r="S177" s="235"/>
    </row>
    <row r="178" spans="3:19" ht="51" x14ac:dyDescent="0.25">
      <c r="C178" s="4" t="s">
        <v>257</v>
      </c>
      <c r="D178" s="212" t="s">
        <v>581</v>
      </c>
      <c r="E178" s="108" t="s">
        <v>122</v>
      </c>
      <c r="F178" s="234">
        <v>1</v>
      </c>
      <c r="G178" s="234">
        <v>1</v>
      </c>
      <c r="H178" s="234">
        <v>1</v>
      </c>
      <c r="I178" s="234">
        <v>1</v>
      </c>
      <c r="J178" s="234">
        <v>1</v>
      </c>
      <c r="K178" s="239">
        <v>1</v>
      </c>
      <c r="L178" s="239">
        <v>1</v>
      </c>
      <c r="M178" s="239">
        <v>1</v>
      </c>
      <c r="N178" s="239">
        <v>1</v>
      </c>
      <c r="O178" s="239"/>
      <c r="P178" s="239"/>
      <c r="Q178" s="239">
        <v>1</v>
      </c>
      <c r="R178" s="239">
        <v>1</v>
      </c>
      <c r="S178" s="239"/>
    </row>
    <row r="179" spans="3:19" ht="38.25" x14ac:dyDescent="0.25">
      <c r="C179" s="4" t="s">
        <v>258</v>
      </c>
      <c r="D179" s="212" t="s">
        <v>582</v>
      </c>
      <c r="E179" s="108" t="s">
        <v>122</v>
      </c>
      <c r="F179" s="234">
        <v>0</v>
      </c>
      <c r="G179" s="234">
        <v>0</v>
      </c>
      <c r="H179" s="234">
        <v>0</v>
      </c>
      <c r="I179" s="234">
        <v>0</v>
      </c>
      <c r="J179" s="234">
        <v>0</v>
      </c>
      <c r="K179" s="239">
        <v>0</v>
      </c>
      <c r="L179" s="239">
        <v>0</v>
      </c>
      <c r="M179" s="239">
        <v>0</v>
      </c>
      <c r="N179" s="239">
        <v>0</v>
      </c>
      <c r="O179" s="239">
        <v>0</v>
      </c>
      <c r="P179" s="239">
        <v>0</v>
      </c>
      <c r="Q179" s="239">
        <v>0</v>
      </c>
      <c r="R179" s="239">
        <v>0</v>
      </c>
      <c r="S179" s="239"/>
    </row>
    <row r="180" spans="3:19" ht="51" x14ac:dyDescent="0.25">
      <c r="C180" s="4" t="s">
        <v>259</v>
      </c>
      <c r="D180" s="212" t="s">
        <v>583</v>
      </c>
      <c r="E180" s="108" t="s">
        <v>122</v>
      </c>
      <c r="F180" s="234">
        <v>1</v>
      </c>
      <c r="G180" s="234">
        <v>1</v>
      </c>
      <c r="H180" s="234">
        <v>1</v>
      </c>
      <c r="I180" s="234">
        <v>1</v>
      </c>
      <c r="J180" s="234">
        <v>1</v>
      </c>
      <c r="K180" s="239">
        <v>1</v>
      </c>
      <c r="L180" s="239">
        <v>1</v>
      </c>
      <c r="M180" s="239">
        <v>1</v>
      </c>
      <c r="N180" s="239">
        <v>1</v>
      </c>
      <c r="O180" s="239">
        <v>1</v>
      </c>
      <c r="P180" s="239">
        <v>1</v>
      </c>
      <c r="Q180" s="239">
        <v>1</v>
      </c>
      <c r="R180" s="239">
        <v>1</v>
      </c>
      <c r="S180" s="239">
        <v>1</v>
      </c>
    </row>
    <row r="181" spans="3:19" ht="51" x14ac:dyDescent="0.25">
      <c r="C181" s="4" t="s">
        <v>381</v>
      </c>
      <c r="D181" s="212" t="s">
        <v>584</v>
      </c>
      <c r="E181" s="108" t="s">
        <v>122</v>
      </c>
      <c r="F181" s="234">
        <v>0</v>
      </c>
      <c r="G181" s="234">
        <v>0</v>
      </c>
      <c r="H181" s="234">
        <v>0</v>
      </c>
      <c r="I181" s="234">
        <v>0</v>
      </c>
      <c r="J181" s="234">
        <v>0</v>
      </c>
      <c r="K181" s="239">
        <v>0</v>
      </c>
      <c r="L181" s="239">
        <v>0</v>
      </c>
      <c r="M181" s="239">
        <v>0</v>
      </c>
      <c r="N181" s="239">
        <v>0</v>
      </c>
      <c r="O181" s="239">
        <v>0</v>
      </c>
      <c r="P181" s="239">
        <v>0</v>
      </c>
      <c r="Q181" s="239">
        <v>0</v>
      </c>
      <c r="R181" s="239">
        <v>0</v>
      </c>
      <c r="S181" s="239">
        <v>0</v>
      </c>
    </row>
    <row r="182" spans="3:19" ht="25.5" x14ac:dyDescent="0.25">
      <c r="C182" s="4" t="s">
        <v>592</v>
      </c>
      <c r="D182" s="212" t="s">
        <v>585</v>
      </c>
      <c r="E182" s="108"/>
      <c r="F182" s="184"/>
      <c r="G182" s="184"/>
      <c r="H182" s="184"/>
      <c r="I182" s="184"/>
      <c r="J182" s="184"/>
      <c r="K182" s="235"/>
      <c r="L182" s="235"/>
      <c r="M182" s="235"/>
      <c r="N182" s="235"/>
      <c r="O182" s="235"/>
      <c r="P182" s="235"/>
      <c r="Q182" s="235"/>
      <c r="R182" s="235"/>
      <c r="S182" s="235"/>
    </row>
    <row r="183" spans="3:19" ht="25.5" x14ac:dyDescent="0.25">
      <c r="C183" s="4" t="s">
        <v>260</v>
      </c>
      <c r="D183" s="212" t="s">
        <v>586</v>
      </c>
      <c r="E183" s="108" t="s">
        <v>120</v>
      </c>
      <c r="F183" s="184">
        <v>0</v>
      </c>
      <c r="G183" s="184">
        <v>0</v>
      </c>
      <c r="H183" s="184">
        <v>0</v>
      </c>
      <c r="I183" s="184">
        <v>0</v>
      </c>
      <c r="J183" s="184">
        <v>0</v>
      </c>
      <c r="K183" s="235">
        <v>0</v>
      </c>
      <c r="L183" s="235">
        <v>0</v>
      </c>
      <c r="M183" s="235">
        <v>0</v>
      </c>
      <c r="N183" s="235">
        <v>0</v>
      </c>
      <c r="O183" s="235">
        <v>0</v>
      </c>
      <c r="P183" s="235">
        <v>0</v>
      </c>
      <c r="Q183" s="235">
        <v>0</v>
      </c>
      <c r="R183" s="235">
        <v>0</v>
      </c>
      <c r="S183" s="235">
        <v>0</v>
      </c>
    </row>
    <row r="184" spans="3:19" ht="25.5" x14ac:dyDescent="0.25">
      <c r="C184" s="4" t="s">
        <v>261</v>
      </c>
      <c r="D184" s="212" t="s">
        <v>587</v>
      </c>
      <c r="E184" s="108" t="s">
        <v>588</v>
      </c>
      <c r="F184" s="184">
        <v>8760</v>
      </c>
      <c r="G184" s="184">
        <v>8760</v>
      </c>
      <c r="H184" s="184">
        <v>8760</v>
      </c>
      <c r="I184" s="184">
        <v>8760</v>
      </c>
      <c r="J184" s="184">
        <v>8760</v>
      </c>
      <c r="K184" s="235">
        <v>8760</v>
      </c>
      <c r="L184" s="235">
        <v>8760</v>
      </c>
      <c r="M184" s="235">
        <v>8760</v>
      </c>
      <c r="N184" s="235">
        <v>8760</v>
      </c>
      <c r="O184" s="235">
        <v>8760</v>
      </c>
      <c r="P184" s="235">
        <v>8760</v>
      </c>
      <c r="Q184" s="235">
        <v>8760</v>
      </c>
      <c r="R184" s="235">
        <v>8760</v>
      </c>
      <c r="S184" s="235">
        <v>8760</v>
      </c>
    </row>
    <row r="185" spans="3:19" x14ac:dyDescent="0.25">
      <c r="C185" s="4" t="s">
        <v>262</v>
      </c>
      <c r="D185" s="212" t="s">
        <v>589</v>
      </c>
      <c r="E185" s="108" t="s">
        <v>122</v>
      </c>
      <c r="F185" s="184"/>
      <c r="G185" s="184"/>
      <c r="H185" s="189"/>
      <c r="I185" s="189"/>
      <c r="J185" s="189"/>
      <c r="K185" s="235"/>
      <c r="L185" s="235"/>
      <c r="M185" s="235"/>
      <c r="N185" s="235"/>
      <c r="O185" s="235"/>
      <c r="P185" s="235"/>
      <c r="Q185" s="235"/>
      <c r="R185" s="235"/>
      <c r="S185" s="235"/>
    </row>
    <row r="186" spans="3:19" x14ac:dyDescent="0.25">
      <c r="C186" s="4" t="s">
        <v>245</v>
      </c>
      <c r="D186" s="212" t="s">
        <v>368</v>
      </c>
      <c r="E186" s="108"/>
      <c r="F186" s="184"/>
      <c r="G186" s="184"/>
      <c r="H186" s="189"/>
      <c r="I186" s="189"/>
      <c r="J186" s="189"/>
      <c r="K186" s="235"/>
      <c r="L186" s="235"/>
      <c r="M186" s="235"/>
      <c r="N186" s="235"/>
      <c r="O186" s="235"/>
      <c r="P186" s="235"/>
      <c r="Q186" s="235"/>
      <c r="R186" s="235"/>
      <c r="S186" s="235"/>
    </row>
    <row r="187" spans="3:19" x14ac:dyDescent="0.25">
      <c r="C187" s="108" t="s">
        <v>263</v>
      </c>
      <c r="D187" s="212" t="s">
        <v>590</v>
      </c>
      <c r="E187" s="108" t="s">
        <v>122</v>
      </c>
      <c r="F187" s="184">
        <v>0</v>
      </c>
      <c r="G187" s="184">
        <v>0</v>
      </c>
      <c r="H187" s="184">
        <v>0</v>
      </c>
      <c r="I187" s="184">
        <v>0</v>
      </c>
      <c r="J187" s="184">
        <v>0</v>
      </c>
      <c r="K187" s="235">
        <v>0</v>
      </c>
      <c r="L187" s="235">
        <v>0</v>
      </c>
      <c r="M187" s="235">
        <v>0</v>
      </c>
      <c r="N187" s="235">
        <v>0</v>
      </c>
      <c r="O187" s="235">
        <v>0</v>
      </c>
      <c r="P187" s="235">
        <v>0</v>
      </c>
      <c r="Q187" s="235">
        <v>0</v>
      </c>
      <c r="R187" s="235">
        <v>0</v>
      </c>
      <c r="S187" s="235">
        <v>0</v>
      </c>
    </row>
    <row r="188" spans="3:19" x14ac:dyDescent="0.25">
      <c r="C188" s="108"/>
      <c r="D188" s="212"/>
      <c r="E188" s="108"/>
      <c r="F188" s="184"/>
      <c r="G188" s="184"/>
      <c r="H188" s="189"/>
      <c r="I188" s="189"/>
      <c r="J188" s="189"/>
      <c r="K188" s="235"/>
      <c r="L188" s="235"/>
      <c r="M188" s="235"/>
      <c r="N188" s="235"/>
      <c r="O188" s="235"/>
      <c r="P188" s="235"/>
      <c r="Q188" s="235"/>
      <c r="R188" s="235"/>
      <c r="S188" s="235"/>
    </row>
    <row r="189" spans="3:19" x14ac:dyDescent="0.25">
      <c r="C189" s="404" t="s">
        <v>199</v>
      </c>
      <c r="D189" s="404"/>
      <c r="E189" s="404"/>
      <c r="F189" s="404"/>
      <c r="G189" s="404"/>
      <c r="H189" s="404"/>
      <c r="I189" s="404"/>
      <c r="J189" s="404"/>
      <c r="K189" s="404"/>
      <c r="L189" s="404"/>
      <c r="M189" s="404"/>
      <c r="N189" s="404"/>
      <c r="O189" s="404"/>
      <c r="P189" s="404"/>
      <c r="Q189" s="404"/>
      <c r="R189" s="404"/>
      <c r="S189" s="404"/>
    </row>
    <row r="190" spans="3:19" x14ac:dyDescent="0.25">
      <c r="C190" s="404"/>
      <c r="D190" s="404"/>
      <c r="E190" s="404"/>
      <c r="F190" s="404"/>
      <c r="G190" s="404"/>
      <c r="H190" s="404"/>
      <c r="I190" s="404"/>
      <c r="J190" s="404"/>
      <c r="K190" s="404"/>
      <c r="L190" s="404"/>
      <c r="M190" s="404"/>
      <c r="N190" s="404"/>
      <c r="O190" s="404"/>
      <c r="P190" s="404"/>
      <c r="Q190" s="404"/>
      <c r="R190" s="404"/>
      <c r="S190" s="404"/>
    </row>
    <row r="191" spans="3:19" x14ac:dyDescent="0.25">
      <c r="C191" s="25" t="s">
        <v>36</v>
      </c>
      <c r="D191" s="25" t="s">
        <v>135</v>
      </c>
      <c r="E191" s="25" t="s">
        <v>369</v>
      </c>
      <c r="F191" s="170">
        <v>2022</v>
      </c>
      <c r="G191" s="170">
        <v>2023</v>
      </c>
      <c r="H191" s="170">
        <v>2024</v>
      </c>
      <c r="I191" s="170">
        <v>2025</v>
      </c>
      <c r="J191" s="170">
        <v>2026</v>
      </c>
      <c r="K191" s="170">
        <v>2027</v>
      </c>
      <c r="L191" s="170">
        <v>2028</v>
      </c>
      <c r="M191" s="170">
        <v>2029</v>
      </c>
      <c r="N191" s="170">
        <v>2030</v>
      </c>
      <c r="O191" s="170">
        <v>2031</v>
      </c>
      <c r="P191" s="170">
        <v>2032</v>
      </c>
      <c r="Q191" s="170">
        <v>2033</v>
      </c>
      <c r="R191" s="170">
        <v>2034</v>
      </c>
      <c r="S191" s="170">
        <v>2035</v>
      </c>
    </row>
    <row r="192" spans="3:19" x14ac:dyDescent="0.25">
      <c r="C192" s="108">
        <v>1</v>
      </c>
      <c r="D192" s="4" t="s">
        <v>411</v>
      </c>
      <c r="E192" s="108" t="s">
        <v>412</v>
      </c>
      <c r="F192" s="184" t="s">
        <v>412</v>
      </c>
      <c r="G192" s="243" t="s">
        <v>412</v>
      </c>
      <c r="H192" s="243" t="s">
        <v>412</v>
      </c>
      <c r="I192" s="243" t="s">
        <v>412</v>
      </c>
      <c r="J192" s="243" t="s">
        <v>412</v>
      </c>
      <c r="K192" s="243" t="s">
        <v>412</v>
      </c>
      <c r="L192" s="243" t="s">
        <v>412</v>
      </c>
      <c r="M192" s="243" t="s">
        <v>412</v>
      </c>
      <c r="N192" s="243" t="s">
        <v>412</v>
      </c>
      <c r="O192" s="243" t="s">
        <v>412</v>
      </c>
      <c r="P192" s="243" t="s">
        <v>412</v>
      </c>
      <c r="Q192" s="243" t="s">
        <v>412</v>
      </c>
      <c r="R192" s="243" t="s">
        <v>412</v>
      </c>
      <c r="S192" s="243" t="s">
        <v>412</v>
      </c>
    </row>
    <row r="193" spans="3:19" ht="25.5" x14ac:dyDescent="0.25">
      <c r="C193" s="208" t="s">
        <v>115</v>
      </c>
      <c r="D193" s="209" t="s">
        <v>413</v>
      </c>
      <c r="E193" s="108" t="s">
        <v>126</v>
      </c>
      <c r="F193" s="256">
        <v>1507.3648687000002</v>
      </c>
      <c r="G193" s="256">
        <v>1507.3648687000002</v>
      </c>
      <c r="H193" s="256">
        <v>1601.6592616984501</v>
      </c>
      <c r="I193" s="256">
        <v>1744.0784157102044</v>
      </c>
      <c r="J193" s="256">
        <v>1864.9001119902505</v>
      </c>
      <c r="K193" s="256">
        <v>1997.8989988068824</v>
      </c>
      <c r="L193" s="256">
        <v>2110.1691486048153</v>
      </c>
      <c r="M193" s="256">
        <v>2214.2002089539678</v>
      </c>
      <c r="N193" s="256">
        <v>2292.6917088372666</v>
      </c>
      <c r="O193" s="256">
        <v>2425.6084341538985</v>
      </c>
      <c r="P193" s="256">
        <v>2544.3741094705306</v>
      </c>
      <c r="Q193" s="256">
        <v>2657.2143747871623</v>
      </c>
      <c r="R193" s="256">
        <v>2767.2178601037945</v>
      </c>
      <c r="S193" s="256">
        <v>2875.5109554204264</v>
      </c>
    </row>
    <row r="194" spans="3:19" x14ac:dyDescent="0.25">
      <c r="C194" s="108">
        <v>2</v>
      </c>
      <c r="D194" s="4" t="s">
        <v>414</v>
      </c>
      <c r="E194" s="108" t="s">
        <v>412</v>
      </c>
      <c r="F194" s="244" t="s">
        <v>412</v>
      </c>
      <c r="G194" s="244" t="s">
        <v>412</v>
      </c>
      <c r="H194" s="244" t="s">
        <v>412</v>
      </c>
      <c r="I194" s="244" t="s">
        <v>412</v>
      </c>
      <c r="J194" s="244" t="s">
        <v>412</v>
      </c>
      <c r="K194" s="244" t="s">
        <v>412</v>
      </c>
      <c r="L194" s="244" t="s">
        <v>412</v>
      </c>
      <c r="M194" s="244" t="s">
        <v>412</v>
      </c>
      <c r="N194" s="244" t="s">
        <v>412</v>
      </c>
      <c r="O194" s="244" t="s">
        <v>412</v>
      </c>
      <c r="P194" s="244" t="s">
        <v>412</v>
      </c>
      <c r="Q194" s="244" t="s">
        <v>412</v>
      </c>
      <c r="R194" s="244" t="s">
        <v>412</v>
      </c>
      <c r="S194" s="244" t="s">
        <v>412</v>
      </c>
    </row>
    <row r="195" spans="3:19" ht="102" x14ac:dyDescent="0.25">
      <c r="C195" s="208" t="s">
        <v>119</v>
      </c>
      <c r="D195" s="209" t="s">
        <v>127</v>
      </c>
      <c r="E195" s="108" t="s">
        <v>122</v>
      </c>
      <c r="F195" s="189">
        <v>3</v>
      </c>
      <c r="G195" s="189">
        <v>3</v>
      </c>
      <c r="H195" s="189">
        <v>3</v>
      </c>
      <c r="I195" s="189">
        <v>3</v>
      </c>
      <c r="J195" s="189">
        <v>3</v>
      </c>
      <c r="K195" s="189">
        <v>3</v>
      </c>
      <c r="L195" s="189">
        <v>3</v>
      </c>
      <c r="M195" s="189">
        <v>3</v>
      </c>
      <c r="N195" s="189">
        <v>3</v>
      </c>
      <c r="O195" s="189">
        <v>3</v>
      </c>
      <c r="P195" s="189">
        <v>3</v>
      </c>
      <c r="Q195" s="189">
        <v>3</v>
      </c>
      <c r="R195" s="189">
        <v>3</v>
      </c>
      <c r="S195" s="189">
        <v>3</v>
      </c>
    </row>
    <row r="196" spans="3:19" ht="76.5" x14ac:dyDescent="0.25">
      <c r="C196" s="208" t="s">
        <v>121</v>
      </c>
      <c r="D196" s="209" t="s">
        <v>128</v>
      </c>
      <c r="E196" s="108" t="s">
        <v>122</v>
      </c>
      <c r="F196" s="189">
        <v>5</v>
      </c>
      <c r="G196" s="189">
        <v>5</v>
      </c>
      <c r="H196" s="189">
        <v>5</v>
      </c>
      <c r="I196" s="189">
        <v>5</v>
      </c>
      <c r="J196" s="189">
        <v>5</v>
      </c>
      <c r="K196" s="189">
        <v>5</v>
      </c>
      <c r="L196" s="189">
        <v>5</v>
      </c>
      <c r="M196" s="189">
        <v>5</v>
      </c>
      <c r="N196" s="189">
        <v>5</v>
      </c>
      <c r="O196" s="189">
        <v>5</v>
      </c>
      <c r="P196" s="189">
        <v>5</v>
      </c>
      <c r="Q196" s="189">
        <v>5</v>
      </c>
      <c r="R196" s="189">
        <v>5</v>
      </c>
      <c r="S196" s="189">
        <v>5</v>
      </c>
    </row>
    <row r="197" spans="3:19" ht="25.5" x14ac:dyDescent="0.25">
      <c r="C197" s="108">
        <v>3</v>
      </c>
      <c r="D197" s="4" t="s">
        <v>415</v>
      </c>
      <c r="E197" s="108" t="s">
        <v>412</v>
      </c>
      <c r="F197" s="189" t="s">
        <v>412</v>
      </c>
      <c r="G197" s="189" t="s">
        <v>412</v>
      </c>
      <c r="H197" s="189" t="s">
        <v>412</v>
      </c>
      <c r="I197" s="189" t="s">
        <v>412</v>
      </c>
      <c r="J197" s="189" t="s">
        <v>412</v>
      </c>
      <c r="K197" s="189" t="s">
        <v>412</v>
      </c>
      <c r="L197" s="189" t="s">
        <v>412</v>
      </c>
      <c r="M197" s="189" t="s">
        <v>412</v>
      </c>
      <c r="N197" s="189" t="s">
        <v>412</v>
      </c>
      <c r="O197" s="189" t="s">
        <v>412</v>
      </c>
      <c r="P197" s="189" t="s">
        <v>412</v>
      </c>
      <c r="Q197" s="189" t="s">
        <v>412</v>
      </c>
      <c r="R197" s="189" t="s">
        <v>412</v>
      </c>
      <c r="S197" s="189" t="s">
        <v>412</v>
      </c>
    </row>
    <row r="198" spans="3:19" ht="76.5" x14ac:dyDescent="0.25">
      <c r="C198" s="208" t="s">
        <v>129</v>
      </c>
      <c r="D198" s="209" t="s">
        <v>130</v>
      </c>
      <c r="E198" s="108" t="s">
        <v>120</v>
      </c>
      <c r="F198" s="189">
        <v>0.49</v>
      </c>
      <c r="G198" s="189">
        <v>0.45</v>
      </c>
      <c r="H198" s="189">
        <v>0.45</v>
      </c>
      <c r="I198" s="189">
        <v>0.45</v>
      </c>
      <c r="J198" s="189">
        <v>0.45</v>
      </c>
      <c r="K198" s="189">
        <v>0.45</v>
      </c>
      <c r="L198" s="189">
        <v>0.45</v>
      </c>
      <c r="M198" s="189">
        <v>0.45</v>
      </c>
      <c r="N198" s="189">
        <v>0.45</v>
      </c>
      <c r="O198" s="189">
        <v>0.45</v>
      </c>
      <c r="P198" s="189">
        <v>0.45</v>
      </c>
      <c r="Q198" s="189">
        <v>0.45</v>
      </c>
      <c r="R198" s="189">
        <v>0.45</v>
      </c>
      <c r="S198" s="189">
        <v>0.45</v>
      </c>
    </row>
    <row r="199" spans="3:19" x14ac:dyDescent="0.25">
      <c r="C199" s="208">
        <v>4</v>
      </c>
      <c r="D199" s="4" t="s">
        <v>416</v>
      </c>
      <c r="E199" s="108" t="s">
        <v>412</v>
      </c>
      <c r="F199" s="306" t="s">
        <v>412</v>
      </c>
      <c r="G199" s="306" t="s">
        <v>412</v>
      </c>
      <c r="H199" s="306" t="s">
        <v>412</v>
      </c>
      <c r="I199" s="306" t="s">
        <v>412</v>
      </c>
      <c r="J199" s="306" t="s">
        <v>412</v>
      </c>
      <c r="K199" s="306" t="s">
        <v>412</v>
      </c>
      <c r="L199" s="306" t="s">
        <v>412</v>
      </c>
      <c r="M199" s="306" t="s">
        <v>412</v>
      </c>
      <c r="N199" s="306" t="s">
        <v>412</v>
      </c>
      <c r="O199" s="306" t="s">
        <v>412</v>
      </c>
      <c r="P199" s="306" t="s">
        <v>412</v>
      </c>
      <c r="Q199" s="306" t="s">
        <v>412</v>
      </c>
      <c r="R199" s="306" t="s">
        <v>412</v>
      </c>
      <c r="S199" s="306" t="s">
        <v>412</v>
      </c>
    </row>
    <row r="200" spans="3:19" ht="51" x14ac:dyDescent="0.25">
      <c r="C200" s="208" t="s">
        <v>123</v>
      </c>
      <c r="D200" s="209" t="s">
        <v>131</v>
      </c>
      <c r="E200" s="219" t="s">
        <v>122</v>
      </c>
      <c r="F200" s="244">
        <v>0.17</v>
      </c>
      <c r="G200" s="244">
        <v>0.1</v>
      </c>
      <c r="H200" s="244">
        <v>0.1</v>
      </c>
      <c r="I200" s="244">
        <v>0.1</v>
      </c>
      <c r="J200" s="244">
        <v>0.1</v>
      </c>
      <c r="K200" s="244">
        <v>0.1</v>
      </c>
      <c r="L200" s="244">
        <v>0.1</v>
      </c>
      <c r="M200" s="244">
        <v>0.1</v>
      </c>
      <c r="N200" s="244">
        <v>0.1</v>
      </c>
      <c r="O200" s="244">
        <v>0.1</v>
      </c>
      <c r="P200" s="244">
        <v>0.1</v>
      </c>
      <c r="Q200" s="244">
        <v>0.1</v>
      </c>
      <c r="R200" s="244">
        <v>0.1</v>
      </c>
      <c r="S200" s="244">
        <v>0.1</v>
      </c>
    </row>
    <row r="201" spans="3:19" ht="51" x14ac:dyDescent="0.25">
      <c r="C201" s="303" t="s">
        <v>132</v>
      </c>
      <c r="D201" s="304" t="s">
        <v>417</v>
      </c>
      <c r="E201" s="305" t="s">
        <v>133</v>
      </c>
      <c r="F201" s="307">
        <v>0.92</v>
      </c>
      <c r="G201" s="307">
        <v>0.77</v>
      </c>
      <c r="H201" s="307">
        <v>0.77</v>
      </c>
      <c r="I201" s="307">
        <v>0.77</v>
      </c>
      <c r="J201" s="307">
        <v>0.77</v>
      </c>
      <c r="K201" s="307">
        <v>0.77</v>
      </c>
      <c r="L201" s="307">
        <v>0.77</v>
      </c>
      <c r="M201" s="307">
        <v>0.77</v>
      </c>
      <c r="N201" s="307">
        <v>0.77</v>
      </c>
      <c r="O201" s="307">
        <v>0.77</v>
      </c>
      <c r="P201" s="307">
        <v>0.77</v>
      </c>
      <c r="Q201" s="307">
        <v>0.77</v>
      </c>
      <c r="R201" s="307">
        <v>0.77</v>
      </c>
      <c r="S201" s="307">
        <v>0.77</v>
      </c>
    </row>
    <row r="202" spans="3:19" ht="25.5" x14ac:dyDescent="0.25">
      <c r="C202" s="108">
        <v>5</v>
      </c>
      <c r="D202" s="108" t="s">
        <v>124</v>
      </c>
      <c r="E202" s="108" t="s">
        <v>412</v>
      </c>
      <c r="F202" s="189" t="s">
        <v>412</v>
      </c>
      <c r="G202" s="189" t="s">
        <v>412</v>
      </c>
      <c r="H202" s="189" t="s">
        <v>412</v>
      </c>
      <c r="I202" s="189" t="s">
        <v>412</v>
      </c>
      <c r="J202" s="189" t="s">
        <v>412</v>
      </c>
      <c r="K202" s="189" t="s">
        <v>412</v>
      </c>
      <c r="L202" s="189" t="s">
        <v>412</v>
      </c>
      <c r="M202" s="189" t="s">
        <v>412</v>
      </c>
      <c r="N202" s="189" t="s">
        <v>412</v>
      </c>
      <c r="O202" s="189" t="s">
        <v>412</v>
      </c>
      <c r="P202" s="189" t="s">
        <v>412</v>
      </c>
      <c r="Q202" s="189" t="s">
        <v>412</v>
      </c>
      <c r="R202" s="189" t="s">
        <v>412</v>
      </c>
      <c r="S202" s="189" t="s">
        <v>412</v>
      </c>
    </row>
    <row r="203" spans="3:19" ht="25.5" x14ac:dyDescent="0.25">
      <c r="C203" s="208" t="s">
        <v>125</v>
      </c>
      <c r="D203" s="108" t="s">
        <v>1058</v>
      </c>
      <c r="E203" s="108" t="s">
        <v>122</v>
      </c>
      <c r="F203" s="189">
        <v>68</v>
      </c>
      <c r="G203" s="189">
        <v>70</v>
      </c>
      <c r="H203" s="189">
        <v>73</v>
      </c>
      <c r="I203" s="189">
        <v>76</v>
      </c>
      <c r="J203" s="189">
        <v>80</v>
      </c>
      <c r="K203" s="189">
        <v>84</v>
      </c>
      <c r="L203" s="189">
        <v>88</v>
      </c>
      <c r="M203" s="189">
        <v>92</v>
      </c>
      <c r="N203" s="189">
        <v>96</v>
      </c>
      <c r="O203" s="189">
        <v>100</v>
      </c>
      <c r="P203" s="189">
        <v>100</v>
      </c>
      <c r="Q203" s="189">
        <v>100</v>
      </c>
      <c r="R203" s="189">
        <v>100</v>
      </c>
      <c r="S203" s="189">
        <v>100</v>
      </c>
    </row>
    <row r="204" spans="3:19" ht="25.5" x14ac:dyDescent="0.25">
      <c r="C204" s="208" t="s">
        <v>137</v>
      </c>
      <c r="D204" s="108" t="s">
        <v>1059</v>
      </c>
      <c r="E204" s="108" t="s">
        <v>122</v>
      </c>
      <c r="F204" s="189">
        <v>98</v>
      </c>
      <c r="G204" s="189">
        <v>99</v>
      </c>
      <c r="H204" s="189">
        <v>99</v>
      </c>
      <c r="I204" s="189">
        <v>100</v>
      </c>
      <c r="J204" s="189">
        <v>100</v>
      </c>
      <c r="K204" s="189">
        <v>100</v>
      </c>
      <c r="L204" s="189">
        <v>100</v>
      </c>
      <c r="M204" s="189">
        <v>100</v>
      </c>
      <c r="N204" s="189">
        <v>100</v>
      </c>
      <c r="O204" s="189">
        <v>100</v>
      </c>
      <c r="P204" s="189">
        <v>100</v>
      </c>
      <c r="Q204" s="189">
        <v>100</v>
      </c>
      <c r="R204" s="189">
        <v>100</v>
      </c>
      <c r="S204" s="189">
        <v>100</v>
      </c>
    </row>
    <row r="205" spans="3:19" ht="25.5" x14ac:dyDescent="0.25">
      <c r="C205" s="208" t="s">
        <v>568</v>
      </c>
      <c r="D205" s="108" t="s">
        <v>1060</v>
      </c>
      <c r="E205" s="108" t="s">
        <v>122</v>
      </c>
      <c r="F205" s="189">
        <v>97</v>
      </c>
      <c r="G205" s="189">
        <v>98</v>
      </c>
      <c r="H205" s="189">
        <v>98</v>
      </c>
      <c r="I205" s="189">
        <v>99</v>
      </c>
      <c r="J205" s="189">
        <v>100</v>
      </c>
      <c r="K205" s="189">
        <v>100</v>
      </c>
      <c r="L205" s="189">
        <v>100</v>
      </c>
      <c r="M205" s="189">
        <v>100</v>
      </c>
      <c r="N205" s="189">
        <v>100</v>
      </c>
      <c r="O205" s="189">
        <v>100</v>
      </c>
      <c r="P205" s="189">
        <v>100</v>
      </c>
      <c r="Q205" s="189">
        <v>100</v>
      </c>
      <c r="R205" s="189">
        <v>100</v>
      </c>
      <c r="S205" s="189">
        <v>100</v>
      </c>
    </row>
    <row r="206" spans="3:19" ht="25.5" x14ac:dyDescent="0.25">
      <c r="C206" s="208" t="s">
        <v>1064</v>
      </c>
      <c r="D206" s="108" t="s">
        <v>1061</v>
      </c>
      <c r="E206" s="108" t="s">
        <v>122</v>
      </c>
      <c r="F206" s="189">
        <v>56</v>
      </c>
      <c r="G206" s="189">
        <v>63</v>
      </c>
      <c r="H206" s="189">
        <v>70</v>
      </c>
      <c r="I206" s="189">
        <v>75</v>
      </c>
      <c r="J206" s="189">
        <v>82</v>
      </c>
      <c r="K206" s="189">
        <v>88</v>
      </c>
      <c r="L206" s="189">
        <v>92</v>
      </c>
      <c r="M206" s="189">
        <v>95</v>
      </c>
      <c r="N206" s="189">
        <v>97</v>
      </c>
      <c r="O206" s="189">
        <v>100</v>
      </c>
      <c r="P206" s="189">
        <v>100</v>
      </c>
      <c r="Q206" s="189">
        <v>100</v>
      </c>
      <c r="R206" s="189">
        <v>100</v>
      </c>
      <c r="S206" s="189">
        <v>100</v>
      </c>
    </row>
    <row r="207" spans="3:19" ht="25.5" x14ac:dyDescent="0.25">
      <c r="C207" s="208" t="s">
        <v>1065</v>
      </c>
      <c r="D207" s="108" t="s">
        <v>1062</v>
      </c>
      <c r="E207" s="108" t="s">
        <v>122</v>
      </c>
      <c r="F207" s="189">
        <v>94</v>
      </c>
      <c r="G207" s="189">
        <v>95</v>
      </c>
      <c r="H207" s="189">
        <v>98</v>
      </c>
      <c r="I207" s="189">
        <v>99</v>
      </c>
      <c r="J207" s="189">
        <v>100</v>
      </c>
      <c r="K207" s="189">
        <v>100</v>
      </c>
      <c r="L207" s="189">
        <v>100</v>
      </c>
      <c r="M207" s="189">
        <v>100</v>
      </c>
      <c r="N207" s="189">
        <v>100</v>
      </c>
      <c r="O207" s="189">
        <v>100</v>
      </c>
      <c r="P207" s="189">
        <v>100</v>
      </c>
      <c r="Q207" s="189">
        <v>100</v>
      </c>
      <c r="R207" s="189">
        <v>100</v>
      </c>
      <c r="S207" s="189">
        <v>100</v>
      </c>
    </row>
    <row r="208" spans="3:19" ht="25.5" x14ac:dyDescent="0.25">
      <c r="C208" s="208" t="s">
        <v>1066</v>
      </c>
      <c r="D208" s="108" t="s">
        <v>1063</v>
      </c>
      <c r="E208" s="108" t="s">
        <v>122</v>
      </c>
      <c r="F208" s="189">
        <v>94</v>
      </c>
      <c r="G208" s="189">
        <v>95</v>
      </c>
      <c r="H208" s="189">
        <v>98</v>
      </c>
      <c r="I208" s="189">
        <v>99</v>
      </c>
      <c r="J208" s="189">
        <v>100</v>
      </c>
      <c r="K208" s="189">
        <v>100</v>
      </c>
      <c r="L208" s="189">
        <v>100</v>
      </c>
      <c r="M208" s="189">
        <v>100</v>
      </c>
      <c r="N208" s="189">
        <v>100</v>
      </c>
      <c r="O208" s="189">
        <v>100</v>
      </c>
      <c r="P208" s="189">
        <v>100</v>
      </c>
      <c r="Q208" s="189">
        <v>100</v>
      </c>
      <c r="R208" s="189">
        <v>100</v>
      </c>
      <c r="S208" s="189">
        <v>100</v>
      </c>
    </row>
    <row r="209" spans="3:19" x14ac:dyDescent="0.25">
      <c r="C209" s="405" t="s">
        <v>201</v>
      </c>
      <c r="D209" s="405"/>
      <c r="E209" s="405"/>
      <c r="F209" s="405"/>
      <c r="G209" s="405"/>
      <c r="H209" s="405"/>
      <c r="I209" s="405"/>
      <c r="J209" s="405"/>
      <c r="K209" s="405"/>
      <c r="L209" s="405"/>
      <c r="M209" s="405"/>
      <c r="N209" s="405"/>
      <c r="O209" s="405"/>
      <c r="P209" s="405"/>
      <c r="Q209" s="405"/>
      <c r="R209" s="405"/>
      <c r="S209" s="405"/>
    </row>
    <row r="210" spans="3:19" x14ac:dyDescent="0.25">
      <c r="C210" s="404"/>
      <c r="D210" s="404"/>
      <c r="E210" s="404"/>
      <c r="F210" s="404"/>
      <c r="G210" s="404"/>
      <c r="H210" s="404"/>
      <c r="I210" s="404"/>
      <c r="J210" s="404"/>
      <c r="K210" s="404"/>
      <c r="L210" s="404"/>
      <c r="M210" s="404"/>
      <c r="N210" s="404"/>
      <c r="O210" s="404"/>
      <c r="P210" s="404"/>
      <c r="Q210" s="404"/>
      <c r="R210" s="404"/>
      <c r="S210" s="404"/>
    </row>
    <row r="211" spans="3:19" x14ac:dyDescent="0.25">
      <c r="C211" s="25" t="s">
        <v>36</v>
      </c>
      <c r="D211" s="25" t="s">
        <v>135</v>
      </c>
      <c r="E211" s="25" t="s">
        <v>369</v>
      </c>
      <c r="F211" s="170">
        <v>2022</v>
      </c>
      <c r="G211" s="170">
        <v>2023</v>
      </c>
      <c r="H211" s="170">
        <v>2024</v>
      </c>
      <c r="I211" s="170">
        <v>2025</v>
      </c>
      <c r="J211" s="170">
        <v>2026</v>
      </c>
      <c r="K211" s="170">
        <v>2027</v>
      </c>
      <c r="L211" s="170">
        <v>2028</v>
      </c>
      <c r="M211" s="170">
        <v>2029</v>
      </c>
      <c r="N211" s="170">
        <v>2030</v>
      </c>
      <c r="O211" s="170">
        <v>2031</v>
      </c>
      <c r="P211" s="170">
        <v>2032</v>
      </c>
      <c r="Q211" s="170">
        <v>2033</v>
      </c>
      <c r="R211" s="170">
        <v>2034</v>
      </c>
      <c r="S211" s="170">
        <v>2035</v>
      </c>
    </row>
    <row r="212" spans="3:19" x14ac:dyDescent="0.25">
      <c r="C212" s="208">
        <v>1</v>
      </c>
      <c r="D212" s="4" t="s">
        <v>418</v>
      </c>
      <c r="E212" s="108" t="s">
        <v>412</v>
      </c>
      <c r="F212" s="246" t="s">
        <v>412</v>
      </c>
      <c r="G212" s="246" t="s">
        <v>412</v>
      </c>
      <c r="H212" s="246" t="s">
        <v>412</v>
      </c>
      <c r="I212" s="246" t="s">
        <v>412</v>
      </c>
      <c r="J212" s="246" t="s">
        <v>412</v>
      </c>
      <c r="K212" s="246" t="s">
        <v>412</v>
      </c>
      <c r="L212" s="246" t="s">
        <v>412</v>
      </c>
      <c r="M212" s="246" t="s">
        <v>412</v>
      </c>
      <c r="N212" s="246" t="s">
        <v>412</v>
      </c>
      <c r="O212" s="246" t="s">
        <v>412</v>
      </c>
      <c r="P212" s="246" t="s">
        <v>412</v>
      </c>
      <c r="Q212" s="246" t="s">
        <v>412</v>
      </c>
      <c r="R212" s="246" t="s">
        <v>412</v>
      </c>
      <c r="S212" s="246" t="s">
        <v>412</v>
      </c>
    </row>
    <row r="213" spans="3:19" ht="25.5" x14ac:dyDescent="0.25">
      <c r="C213" s="208" t="s">
        <v>115</v>
      </c>
      <c r="D213" s="209" t="s">
        <v>419</v>
      </c>
      <c r="E213" s="108" t="s">
        <v>126</v>
      </c>
      <c r="F213" s="189">
        <v>1663.83</v>
      </c>
      <c r="G213" s="189">
        <v>1667.13</v>
      </c>
      <c r="H213" s="189">
        <v>1672.94</v>
      </c>
      <c r="I213" s="189">
        <v>1897.88</v>
      </c>
      <c r="J213" s="189">
        <v>2016.02</v>
      </c>
      <c r="K213" s="189">
        <v>2146.35</v>
      </c>
      <c r="L213" s="189">
        <v>2254.83</v>
      </c>
      <c r="M213" s="189">
        <v>2357.56</v>
      </c>
      <c r="N213" s="189">
        <v>2432.27</v>
      </c>
      <c r="O213" s="189">
        <v>2562.5100000000002</v>
      </c>
      <c r="P213" s="189">
        <v>2678.59</v>
      </c>
      <c r="Q213" s="189">
        <v>2788.76</v>
      </c>
      <c r="R213" s="189">
        <v>2896.08</v>
      </c>
      <c r="S213" s="189">
        <v>3001.7</v>
      </c>
    </row>
    <row r="214" spans="3:19" x14ac:dyDescent="0.25">
      <c r="C214" s="208">
        <v>2</v>
      </c>
      <c r="D214" s="4" t="s">
        <v>420</v>
      </c>
      <c r="E214" s="108" t="s">
        <v>412</v>
      </c>
      <c r="F214" s="189" t="s">
        <v>412</v>
      </c>
      <c r="G214" s="189" t="s">
        <v>412</v>
      </c>
      <c r="H214" s="189" t="s">
        <v>412</v>
      </c>
      <c r="I214" s="189" t="s">
        <v>412</v>
      </c>
      <c r="J214" s="189" t="s">
        <v>412</v>
      </c>
      <c r="K214" s="189" t="s">
        <v>412</v>
      </c>
      <c r="L214" s="189" t="s">
        <v>412</v>
      </c>
      <c r="M214" s="189" t="s">
        <v>412</v>
      </c>
      <c r="N214" s="189" t="s">
        <v>412</v>
      </c>
      <c r="O214" s="189" t="s">
        <v>412</v>
      </c>
      <c r="P214" s="189" t="s">
        <v>412</v>
      </c>
      <c r="Q214" s="189" t="s">
        <v>412</v>
      </c>
      <c r="R214" s="189" t="s">
        <v>412</v>
      </c>
      <c r="S214" s="189" t="s">
        <v>412</v>
      </c>
    </row>
    <row r="215" spans="3:19" ht="76.5" x14ac:dyDescent="0.25">
      <c r="C215" s="208" t="s">
        <v>121</v>
      </c>
      <c r="D215" s="209" t="s">
        <v>421</v>
      </c>
      <c r="E215" s="108" t="s">
        <v>122</v>
      </c>
      <c r="F215" s="189">
        <v>1</v>
      </c>
      <c r="G215" s="189">
        <v>1</v>
      </c>
      <c r="H215" s="189">
        <v>1</v>
      </c>
      <c r="I215" s="189">
        <v>1</v>
      </c>
      <c r="J215" s="189">
        <v>1</v>
      </c>
      <c r="K215" s="189">
        <v>1</v>
      </c>
      <c r="L215" s="189">
        <v>1</v>
      </c>
      <c r="M215" s="189">
        <v>1</v>
      </c>
      <c r="N215" s="189">
        <v>1</v>
      </c>
      <c r="O215" s="189">
        <v>1</v>
      </c>
      <c r="P215" s="189">
        <v>1</v>
      </c>
      <c r="Q215" s="189">
        <v>1</v>
      </c>
      <c r="R215" s="189">
        <v>1</v>
      </c>
      <c r="S215" s="189">
        <v>1</v>
      </c>
    </row>
    <row r="216" spans="3:19" ht="25.5" x14ac:dyDescent="0.25">
      <c r="C216" s="208">
        <v>3</v>
      </c>
      <c r="D216" s="4" t="s">
        <v>422</v>
      </c>
      <c r="E216" s="108" t="s">
        <v>412</v>
      </c>
      <c r="F216" s="189" t="s">
        <v>412</v>
      </c>
      <c r="G216" s="189" t="s">
        <v>412</v>
      </c>
      <c r="H216" s="189" t="s">
        <v>412</v>
      </c>
      <c r="I216" s="189" t="s">
        <v>412</v>
      </c>
      <c r="J216" s="189" t="s">
        <v>412</v>
      </c>
      <c r="K216" s="189" t="s">
        <v>412</v>
      </c>
      <c r="L216" s="189" t="s">
        <v>412</v>
      </c>
      <c r="M216" s="189" t="s">
        <v>412</v>
      </c>
      <c r="N216" s="189" t="s">
        <v>412</v>
      </c>
      <c r="O216" s="189" t="s">
        <v>412</v>
      </c>
      <c r="P216" s="189" t="s">
        <v>412</v>
      </c>
      <c r="Q216" s="189" t="s">
        <v>412</v>
      </c>
      <c r="R216" s="189" t="s">
        <v>412</v>
      </c>
      <c r="S216" s="189" t="s">
        <v>412</v>
      </c>
    </row>
    <row r="217" spans="3:19" ht="38.25" x14ac:dyDescent="0.25">
      <c r="C217" s="208" t="s">
        <v>129</v>
      </c>
      <c r="D217" s="209" t="s">
        <v>423</v>
      </c>
      <c r="E217" s="108" t="s">
        <v>120</v>
      </c>
      <c r="F217" s="189">
        <v>1.96</v>
      </c>
      <c r="G217" s="189">
        <v>1.96</v>
      </c>
      <c r="H217" s="189">
        <v>1.96</v>
      </c>
      <c r="I217" s="189">
        <v>1.96</v>
      </c>
      <c r="J217" s="189">
        <v>1.96</v>
      </c>
      <c r="K217" s="189">
        <v>1.96</v>
      </c>
      <c r="L217" s="189">
        <v>1.5</v>
      </c>
      <c r="M217" s="189">
        <v>1.5</v>
      </c>
      <c r="N217" s="189">
        <v>1.5</v>
      </c>
      <c r="O217" s="189">
        <v>1.5</v>
      </c>
      <c r="P217" s="189">
        <v>1.5</v>
      </c>
      <c r="Q217" s="189">
        <v>1.5</v>
      </c>
      <c r="R217" s="189">
        <v>1.5</v>
      </c>
      <c r="S217" s="189">
        <v>1.5</v>
      </c>
    </row>
    <row r="218" spans="3:19" ht="25.5" x14ac:dyDescent="0.25">
      <c r="C218" s="208">
        <v>4</v>
      </c>
      <c r="D218" s="4" t="s">
        <v>424</v>
      </c>
      <c r="E218" s="108" t="s">
        <v>412</v>
      </c>
      <c r="F218" s="189" t="s">
        <v>412</v>
      </c>
      <c r="G218" s="189" t="s">
        <v>412</v>
      </c>
      <c r="H218" s="189" t="s">
        <v>412</v>
      </c>
      <c r="I218" s="189" t="s">
        <v>412</v>
      </c>
      <c r="J218" s="189" t="s">
        <v>412</v>
      </c>
      <c r="K218" s="189" t="s">
        <v>412</v>
      </c>
      <c r="L218" s="189" t="s">
        <v>412</v>
      </c>
      <c r="M218" s="189" t="s">
        <v>412</v>
      </c>
      <c r="N218" s="189" t="s">
        <v>412</v>
      </c>
      <c r="O218" s="189" t="s">
        <v>412</v>
      </c>
      <c r="P218" s="189" t="s">
        <v>412</v>
      </c>
      <c r="Q218" s="189" t="s">
        <v>412</v>
      </c>
      <c r="R218" s="189" t="s">
        <v>412</v>
      </c>
      <c r="S218" s="189" t="s">
        <v>412</v>
      </c>
    </row>
    <row r="219" spans="3:19" ht="51" x14ac:dyDescent="0.25">
      <c r="C219" s="208" t="s">
        <v>123</v>
      </c>
      <c r="D219" s="209" t="s">
        <v>425</v>
      </c>
      <c r="E219" s="108" t="s">
        <v>133</v>
      </c>
      <c r="F219" s="189">
        <v>0.97</v>
      </c>
      <c r="G219" s="189">
        <v>0.62</v>
      </c>
      <c r="H219" s="189">
        <v>0.55000000000000004</v>
      </c>
      <c r="I219" s="189">
        <v>0.62</v>
      </c>
      <c r="J219" s="189">
        <v>0.55000000000000004</v>
      </c>
      <c r="K219" s="189">
        <v>0.55000000000000004</v>
      </c>
      <c r="L219" s="189">
        <v>0.55000000000000004</v>
      </c>
      <c r="M219" s="189">
        <v>0.55000000000000004</v>
      </c>
      <c r="N219" s="189">
        <v>0.55000000000000004</v>
      </c>
      <c r="O219" s="189">
        <v>0.55000000000000004</v>
      </c>
      <c r="P219" s="189">
        <v>0.55000000000000004</v>
      </c>
      <c r="Q219" s="189">
        <v>0.55000000000000004</v>
      </c>
      <c r="R219" s="189">
        <v>0.55000000000000004</v>
      </c>
      <c r="S219" s="189">
        <v>0.55000000000000004</v>
      </c>
    </row>
    <row r="220" spans="3:19" ht="51" x14ac:dyDescent="0.25">
      <c r="C220" s="208" t="s">
        <v>132</v>
      </c>
      <c r="D220" s="209" t="s">
        <v>426</v>
      </c>
      <c r="E220" s="108" t="s">
        <v>133</v>
      </c>
      <c r="F220" s="189">
        <v>0.3</v>
      </c>
      <c r="G220" s="189">
        <v>0.3</v>
      </c>
      <c r="H220" s="189">
        <v>0.3</v>
      </c>
      <c r="I220" s="189">
        <v>0.3</v>
      </c>
      <c r="J220" s="189">
        <v>0.3</v>
      </c>
      <c r="K220" s="189">
        <v>0.3</v>
      </c>
      <c r="L220" s="189">
        <v>0.3</v>
      </c>
      <c r="M220" s="189">
        <v>0.3</v>
      </c>
      <c r="N220" s="189">
        <v>0.3</v>
      </c>
      <c r="O220" s="189">
        <v>0.3</v>
      </c>
      <c r="P220" s="189">
        <v>0.3</v>
      </c>
      <c r="Q220" s="189">
        <v>0.3</v>
      </c>
      <c r="R220" s="189">
        <v>0.3</v>
      </c>
      <c r="S220" s="189">
        <v>0.3</v>
      </c>
    </row>
    <row r="221" spans="3:19" x14ac:dyDescent="0.25">
      <c r="C221" s="404" t="s">
        <v>380</v>
      </c>
      <c r="D221" s="404"/>
      <c r="E221" s="404"/>
      <c r="F221" s="404"/>
      <c r="G221" s="404"/>
      <c r="H221" s="404"/>
      <c r="I221" s="404"/>
      <c r="J221" s="404"/>
      <c r="K221" s="404"/>
      <c r="L221" s="404"/>
      <c r="M221" s="404"/>
      <c r="N221" s="404"/>
      <c r="O221" s="404"/>
      <c r="P221" s="404"/>
      <c r="Q221" s="404"/>
      <c r="R221" s="404"/>
      <c r="S221" s="404"/>
    </row>
    <row r="222" spans="3:19" x14ac:dyDescent="0.25">
      <c r="C222" s="404"/>
      <c r="D222" s="404"/>
      <c r="E222" s="404"/>
      <c r="F222" s="406"/>
      <c r="G222" s="406"/>
      <c r="H222" s="406"/>
      <c r="I222" s="406"/>
      <c r="J222" s="406"/>
      <c r="K222" s="406"/>
      <c r="L222" s="406"/>
      <c r="M222" s="406"/>
      <c r="N222" s="406"/>
      <c r="O222" s="406"/>
      <c r="P222" s="406"/>
      <c r="Q222" s="406"/>
      <c r="R222" s="406"/>
      <c r="S222" s="406"/>
    </row>
    <row r="223" spans="3:19" x14ac:dyDescent="0.25">
      <c r="C223" s="25" t="s">
        <v>36</v>
      </c>
      <c r="D223" s="108" t="s">
        <v>135</v>
      </c>
      <c r="E223" s="219" t="s">
        <v>86</v>
      </c>
      <c r="F223" s="25">
        <v>2022</v>
      </c>
      <c r="G223" s="241">
        <v>2023</v>
      </c>
      <c r="H223" s="241">
        <v>2024</v>
      </c>
      <c r="I223" s="241">
        <v>2025</v>
      </c>
      <c r="J223" s="241">
        <v>2026</v>
      </c>
      <c r="K223" s="241">
        <v>2027</v>
      </c>
      <c r="L223" s="241">
        <v>2028</v>
      </c>
      <c r="M223" s="241">
        <v>2029</v>
      </c>
      <c r="N223" s="241">
        <v>2030</v>
      </c>
      <c r="O223" s="241">
        <v>2031</v>
      </c>
      <c r="P223" s="241">
        <v>2032</v>
      </c>
      <c r="Q223" s="25">
        <v>2033</v>
      </c>
      <c r="R223" s="25">
        <v>2034</v>
      </c>
      <c r="S223" s="25">
        <v>2035</v>
      </c>
    </row>
    <row r="224" spans="3:19" x14ac:dyDescent="0.25">
      <c r="C224" s="208">
        <v>1</v>
      </c>
      <c r="D224" s="108" t="s">
        <v>658</v>
      </c>
      <c r="E224" s="219" t="s">
        <v>112</v>
      </c>
      <c r="F224" s="189" t="s">
        <v>112</v>
      </c>
      <c r="G224" s="189" t="s">
        <v>112</v>
      </c>
      <c r="H224" s="189" t="s">
        <v>112</v>
      </c>
      <c r="I224" s="189" t="s">
        <v>112</v>
      </c>
      <c r="J224" s="189" t="s">
        <v>112</v>
      </c>
      <c r="K224" s="189" t="s">
        <v>112</v>
      </c>
      <c r="L224" s="189" t="s">
        <v>112</v>
      </c>
      <c r="M224" s="189" t="s">
        <v>112</v>
      </c>
      <c r="N224" s="189" t="s">
        <v>112</v>
      </c>
      <c r="O224" s="189" t="s">
        <v>112</v>
      </c>
      <c r="P224" s="189" t="s">
        <v>112</v>
      </c>
      <c r="Q224" s="189" t="s">
        <v>112</v>
      </c>
      <c r="R224" s="189" t="s">
        <v>112</v>
      </c>
      <c r="S224" s="189" t="s">
        <v>112</v>
      </c>
    </row>
    <row r="225" spans="3:19" ht="25.5" x14ac:dyDescent="0.25">
      <c r="C225" s="208" t="s">
        <v>115</v>
      </c>
      <c r="D225" s="108" t="s">
        <v>659</v>
      </c>
      <c r="E225" s="219" t="s">
        <v>122</v>
      </c>
      <c r="F225" s="189">
        <v>100</v>
      </c>
      <c r="G225" s="245">
        <v>100</v>
      </c>
      <c r="H225" s="245">
        <v>100</v>
      </c>
      <c r="I225" s="245">
        <v>100</v>
      </c>
      <c r="J225" s="245">
        <v>100</v>
      </c>
      <c r="K225" s="245">
        <v>100</v>
      </c>
      <c r="L225" s="245">
        <v>100</v>
      </c>
      <c r="M225" s="245">
        <v>100</v>
      </c>
      <c r="N225" s="245">
        <v>100</v>
      </c>
      <c r="O225" s="245">
        <v>100</v>
      </c>
      <c r="P225" s="245">
        <v>100</v>
      </c>
      <c r="Q225" s="189">
        <v>100</v>
      </c>
      <c r="R225" s="189">
        <v>100</v>
      </c>
      <c r="S225" s="189">
        <v>100</v>
      </c>
    </row>
    <row r="226" spans="3:19" ht="25.5" x14ac:dyDescent="0.25">
      <c r="C226" s="208">
        <v>2</v>
      </c>
      <c r="D226" s="108" t="s">
        <v>660</v>
      </c>
      <c r="E226" s="219" t="s">
        <v>122</v>
      </c>
      <c r="F226" s="189">
        <v>100</v>
      </c>
      <c r="G226" s="189">
        <v>100</v>
      </c>
      <c r="H226" s="189">
        <v>100</v>
      </c>
      <c r="I226" s="189">
        <v>100</v>
      </c>
      <c r="J226" s="189">
        <v>100</v>
      </c>
      <c r="K226" s="189">
        <v>100</v>
      </c>
      <c r="L226" s="189">
        <v>100</v>
      </c>
      <c r="M226" s="189">
        <v>100</v>
      </c>
      <c r="N226" s="189">
        <v>100</v>
      </c>
      <c r="O226" s="189">
        <v>100</v>
      </c>
      <c r="P226" s="189">
        <v>100</v>
      </c>
      <c r="Q226" s="189">
        <v>100</v>
      </c>
      <c r="R226" s="189">
        <v>100</v>
      </c>
      <c r="S226" s="189">
        <v>100</v>
      </c>
    </row>
    <row r="227" spans="3:19" ht="25.5" x14ac:dyDescent="0.25">
      <c r="C227" s="208" t="s">
        <v>668</v>
      </c>
      <c r="D227" s="108" t="s">
        <v>661</v>
      </c>
      <c r="E227" s="219" t="s">
        <v>112</v>
      </c>
      <c r="F227" s="189" t="s">
        <v>112</v>
      </c>
      <c r="G227" s="189" t="s">
        <v>112</v>
      </c>
      <c r="H227" s="189" t="s">
        <v>112</v>
      </c>
      <c r="I227" s="189" t="s">
        <v>112</v>
      </c>
      <c r="J227" s="189" t="s">
        <v>112</v>
      </c>
      <c r="K227" s="189" t="s">
        <v>112</v>
      </c>
      <c r="L227" s="189" t="s">
        <v>112</v>
      </c>
      <c r="M227" s="189" t="s">
        <v>112</v>
      </c>
      <c r="N227" s="189" t="s">
        <v>112</v>
      </c>
      <c r="O227" s="189" t="s">
        <v>112</v>
      </c>
      <c r="P227" s="189" t="s">
        <v>112</v>
      </c>
      <c r="Q227" s="189" t="s">
        <v>112</v>
      </c>
      <c r="R227" s="189" t="s">
        <v>112</v>
      </c>
      <c r="S227" s="189" t="s">
        <v>112</v>
      </c>
    </row>
    <row r="228" spans="3:19" ht="63.75" x14ac:dyDescent="0.25">
      <c r="C228" s="208" t="s">
        <v>129</v>
      </c>
      <c r="D228" s="108" t="s">
        <v>662</v>
      </c>
      <c r="E228" s="219" t="s">
        <v>122</v>
      </c>
      <c r="F228" s="189">
        <v>0</v>
      </c>
      <c r="G228" s="245">
        <v>0</v>
      </c>
      <c r="H228" s="245">
        <v>0</v>
      </c>
      <c r="I228" s="245">
        <v>0</v>
      </c>
      <c r="J228" s="245">
        <v>0</v>
      </c>
      <c r="K228" s="245">
        <v>0</v>
      </c>
      <c r="L228" s="245">
        <v>0</v>
      </c>
      <c r="M228" s="245">
        <v>0</v>
      </c>
      <c r="N228" s="245">
        <v>0</v>
      </c>
      <c r="O228" s="245">
        <v>0</v>
      </c>
      <c r="P228" s="245">
        <v>0</v>
      </c>
      <c r="Q228" s="189">
        <v>0</v>
      </c>
      <c r="R228" s="189">
        <v>0</v>
      </c>
      <c r="S228" s="189">
        <v>0</v>
      </c>
    </row>
    <row r="229" spans="3:19" ht="51" x14ac:dyDescent="0.25">
      <c r="C229" s="208" t="s">
        <v>669</v>
      </c>
      <c r="D229" s="108" t="s">
        <v>663</v>
      </c>
      <c r="E229" s="219" t="s">
        <v>664</v>
      </c>
      <c r="F229" s="189">
        <v>0</v>
      </c>
      <c r="G229" s="245">
        <v>0</v>
      </c>
      <c r="H229" s="245">
        <v>0</v>
      </c>
      <c r="I229" s="245">
        <v>0</v>
      </c>
      <c r="J229" s="245">
        <v>0</v>
      </c>
      <c r="K229" s="245">
        <v>0</v>
      </c>
      <c r="L229" s="245">
        <v>0</v>
      </c>
      <c r="M229" s="245">
        <v>0</v>
      </c>
      <c r="N229" s="245">
        <v>0</v>
      </c>
      <c r="O229" s="245">
        <v>0</v>
      </c>
      <c r="P229" s="245">
        <v>0</v>
      </c>
      <c r="Q229" s="189">
        <v>0</v>
      </c>
      <c r="R229" s="189">
        <v>0</v>
      </c>
      <c r="S229" s="189">
        <v>0</v>
      </c>
    </row>
    <row r="230" spans="3:19" x14ac:dyDescent="0.25">
      <c r="C230" s="208">
        <v>4</v>
      </c>
      <c r="D230" s="108" t="s">
        <v>665</v>
      </c>
      <c r="E230" s="219" t="s">
        <v>112</v>
      </c>
      <c r="F230" s="189" t="s">
        <v>112</v>
      </c>
      <c r="G230" s="245" t="s">
        <v>112</v>
      </c>
      <c r="H230" s="245" t="s">
        <v>112</v>
      </c>
      <c r="I230" s="245" t="s">
        <v>112</v>
      </c>
      <c r="J230" s="245" t="s">
        <v>112</v>
      </c>
      <c r="K230" s="245" t="s">
        <v>112</v>
      </c>
      <c r="L230" s="245" t="s">
        <v>112</v>
      </c>
      <c r="M230" s="245" t="s">
        <v>112</v>
      </c>
      <c r="N230" s="245" t="s">
        <v>112</v>
      </c>
      <c r="O230" s="245" t="s">
        <v>112</v>
      </c>
      <c r="P230" s="245" t="s">
        <v>112</v>
      </c>
      <c r="Q230" s="189" t="s">
        <v>112</v>
      </c>
      <c r="R230" s="189" t="s">
        <v>112</v>
      </c>
      <c r="S230" s="189" t="s">
        <v>112</v>
      </c>
    </row>
    <row r="231" spans="3:19" ht="25.5" x14ac:dyDescent="0.25">
      <c r="C231" s="208" t="s">
        <v>123</v>
      </c>
      <c r="D231" s="108" t="s">
        <v>372</v>
      </c>
      <c r="E231" s="219" t="s">
        <v>666</v>
      </c>
      <c r="F231" s="189">
        <v>24</v>
      </c>
      <c r="G231" s="245">
        <v>24</v>
      </c>
      <c r="H231" s="245">
        <v>24</v>
      </c>
      <c r="I231" s="245">
        <v>24</v>
      </c>
      <c r="J231" s="245">
        <v>24</v>
      </c>
      <c r="K231" s="245">
        <v>24</v>
      </c>
      <c r="L231" s="245">
        <v>24</v>
      </c>
      <c r="M231" s="245">
        <v>24</v>
      </c>
      <c r="N231" s="245">
        <v>24</v>
      </c>
      <c r="O231" s="245">
        <v>24</v>
      </c>
      <c r="P231" s="245">
        <v>24</v>
      </c>
      <c r="Q231" s="189">
        <v>24</v>
      </c>
      <c r="R231" s="189">
        <v>24</v>
      </c>
      <c r="S231" s="189">
        <v>24</v>
      </c>
    </row>
    <row r="232" spans="3:19" x14ac:dyDescent="0.25">
      <c r="C232" s="208" t="s">
        <v>132</v>
      </c>
      <c r="D232" s="108" t="s">
        <v>667</v>
      </c>
      <c r="E232" s="219" t="s">
        <v>666</v>
      </c>
      <c r="F232" s="189">
        <v>24</v>
      </c>
      <c r="G232" s="245">
        <v>24</v>
      </c>
      <c r="H232" s="245">
        <v>24</v>
      </c>
      <c r="I232" s="245">
        <v>24</v>
      </c>
      <c r="J232" s="245">
        <v>24</v>
      </c>
      <c r="K232" s="245">
        <v>24</v>
      </c>
      <c r="L232" s="245">
        <v>24</v>
      </c>
      <c r="M232" s="245">
        <v>24</v>
      </c>
      <c r="N232" s="245">
        <v>24</v>
      </c>
      <c r="O232" s="245">
        <v>24</v>
      </c>
      <c r="P232" s="245">
        <v>24</v>
      </c>
      <c r="Q232" s="189">
        <v>24</v>
      </c>
      <c r="R232" s="189">
        <v>24</v>
      </c>
      <c r="S232" s="189">
        <v>24</v>
      </c>
    </row>
    <row r="233" spans="3:19" x14ac:dyDescent="0.25">
      <c r="C233" s="404" t="s">
        <v>203</v>
      </c>
      <c r="D233" s="404"/>
      <c r="E233" s="404"/>
      <c r="F233" s="405"/>
      <c r="G233" s="405"/>
      <c r="H233" s="405"/>
      <c r="I233" s="405"/>
      <c r="J233" s="405"/>
      <c r="K233" s="405"/>
      <c r="L233" s="405"/>
      <c r="M233" s="405"/>
      <c r="N233" s="405"/>
      <c r="O233" s="405"/>
      <c r="P233" s="405"/>
      <c r="Q233" s="405"/>
      <c r="R233" s="405"/>
      <c r="S233" s="405"/>
    </row>
    <row r="234" spans="3:19" x14ac:dyDescent="0.25">
      <c r="C234" s="404"/>
      <c r="D234" s="404"/>
      <c r="E234" s="404"/>
      <c r="F234" s="404"/>
      <c r="G234" s="404"/>
      <c r="H234" s="404"/>
      <c r="I234" s="404"/>
      <c r="J234" s="404"/>
      <c r="K234" s="404"/>
      <c r="L234" s="404"/>
      <c r="M234" s="404"/>
      <c r="N234" s="404"/>
      <c r="O234" s="404"/>
      <c r="P234" s="404"/>
      <c r="Q234" s="404"/>
      <c r="R234" s="404"/>
      <c r="S234" s="404"/>
    </row>
    <row r="235" spans="3:19" x14ac:dyDescent="0.25">
      <c r="C235" s="25" t="s">
        <v>36</v>
      </c>
      <c r="D235" s="25" t="s">
        <v>135</v>
      </c>
      <c r="E235" s="25" t="s">
        <v>369</v>
      </c>
      <c r="F235" s="297">
        <v>2022</v>
      </c>
      <c r="G235" s="297">
        <v>2023</v>
      </c>
      <c r="H235" s="297">
        <v>2024</v>
      </c>
      <c r="I235" s="297">
        <v>2025</v>
      </c>
      <c r="J235" s="297">
        <v>2026</v>
      </c>
      <c r="K235" s="297">
        <v>2027</v>
      </c>
      <c r="L235" s="297">
        <v>2028</v>
      </c>
      <c r="M235" s="297">
        <v>2029</v>
      </c>
      <c r="N235" s="297">
        <v>2030</v>
      </c>
      <c r="O235" s="297">
        <v>2031</v>
      </c>
      <c r="P235" s="297">
        <v>2032</v>
      </c>
      <c r="Q235" s="297">
        <v>2033</v>
      </c>
      <c r="R235" s="297">
        <v>2034</v>
      </c>
      <c r="S235" s="297">
        <v>2035</v>
      </c>
    </row>
    <row r="236" spans="3:19" x14ac:dyDescent="0.25">
      <c r="C236" s="108" t="s">
        <v>229</v>
      </c>
      <c r="D236" s="108" t="s">
        <v>766</v>
      </c>
      <c r="E236" s="108"/>
      <c r="F236" s="184"/>
      <c r="G236" s="184"/>
      <c r="H236" s="184"/>
      <c r="I236" s="184"/>
      <c r="J236" s="184"/>
      <c r="K236" s="235"/>
      <c r="L236" s="235"/>
      <c r="M236" s="235"/>
      <c r="N236" s="235"/>
      <c r="O236" s="235"/>
      <c r="P236" s="235"/>
      <c r="Q236" s="235"/>
      <c r="R236" s="235"/>
      <c r="S236" s="235"/>
    </row>
    <row r="237" spans="3:19" x14ac:dyDescent="0.25">
      <c r="C237" s="108" t="s">
        <v>231</v>
      </c>
      <c r="D237" s="212" t="s">
        <v>1038</v>
      </c>
      <c r="E237" s="108" t="s">
        <v>765</v>
      </c>
      <c r="F237" s="256">
        <f>Спрос!D48</f>
        <v>126.749</v>
      </c>
      <c r="G237" s="256">
        <f>Спрос!E48</f>
        <v>131.333</v>
      </c>
      <c r="H237" s="256">
        <f>Спрос!F48</f>
        <v>133.678</v>
      </c>
      <c r="I237" s="256">
        <f>Спрос!G48</f>
        <v>135.994</v>
      </c>
      <c r="J237" s="256">
        <f>Спрос!H48</f>
        <v>138.42000000000002</v>
      </c>
      <c r="K237" s="256">
        <f>Спрос!I48</f>
        <v>140.69900000000001</v>
      </c>
      <c r="L237" s="256">
        <f>Спрос!J48</f>
        <v>142.95599999999999</v>
      </c>
      <c r="M237" s="256">
        <f>Спрос!K48</f>
        <v>145.059</v>
      </c>
      <c r="N237" s="256">
        <f>Спрос!L48</f>
        <v>147.09699999999998</v>
      </c>
      <c r="O237" s="256">
        <f>Спрос!M48</f>
        <v>149.45500000000001</v>
      </c>
      <c r="P237" s="256">
        <f>Спрос!N48</f>
        <v>151.57600000000002</v>
      </c>
      <c r="Q237" s="256">
        <f>Спрос!O48</f>
        <v>153.79000000000002</v>
      </c>
      <c r="R237" s="256">
        <f>Спрос!P48</f>
        <v>155.941</v>
      </c>
      <c r="S237" s="256">
        <f>Спрос!Q48</f>
        <v>157.97199999999998</v>
      </c>
    </row>
    <row r="238" spans="3:19" x14ac:dyDescent="0.25">
      <c r="C238" s="108" t="s">
        <v>1039</v>
      </c>
      <c r="D238" s="212" t="s">
        <v>1040</v>
      </c>
      <c r="E238" s="108" t="s">
        <v>765</v>
      </c>
      <c r="F238" s="228"/>
      <c r="G238" s="256">
        <f>G237-F237</f>
        <v>4.5840000000000032</v>
      </c>
      <c r="H238" s="256">
        <f t="shared" ref="H238:S238" si="0">H237-G237</f>
        <v>2.3449999999999989</v>
      </c>
      <c r="I238" s="256">
        <f t="shared" si="0"/>
        <v>2.3160000000000025</v>
      </c>
      <c r="J238" s="256">
        <f t="shared" si="0"/>
        <v>2.4260000000000161</v>
      </c>
      <c r="K238" s="256">
        <f t="shared" si="0"/>
        <v>2.2789999999999964</v>
      </c>
      <c r="L238" s="256">
        <f t="shared" si="0"/>
        <v>2.2569999999999766</v>
      </c>
      <c r="M238" s="256">
        <f t="shared" si="0"/>
        <v>2.1030000000000086</v>
      </c>
      <c r="N238" s="256">
        <f t="shared" si="0"/>
        <v>2.0379999999999825</v>
      </c>
      <c r="O238" s="256">
        <f t="shared" si="0"/>
        <v>2.3580000000000325</v>
      </c>
      <c r="P238" s="256">
        <f t="shared" si="0"/>
        <v>2.1210000000000093</v>
      </c>
      <c r="Q238" s="256">
        <f t="shared" si="0"/>
        <v>2.2139999999999986</v>
      </c>
      <c r="R238" s="256">
        <f t="shared" si="0"/>
        <v>2.150999999999982</v>
      </c>
      <c r="S238" s="256">
        <f t="shared" si="0"/>
        <v>2.0309999999999775</v>
      </c>
    </row>
    <row r="239" spans="3:19" x14ac:dyDescent="0.25">
      <c r="C239" s="108" t="s">
        <v>234</v>
      </c>
      <c r="D239" s="212" t="s">
        <v>1053</v>
      </c>
      <c r="E239" s="108" t="str">
        <f>[7]Спрос!C41</f>
        <v>МВт</v>
      </c>
      <c r="F239" s="228"/>
      <c r="G239" s="256">
        <f>Спрос!E52</f>
        <v>5.9669999999999996</v>
      </c>
      <c r="H239" s="256">
        <f>Спрос!F52</f>
        <v>8.3930000000000007</v>
      </c>
      <c r="I239" s="256">
        <f>Спрос!G52</f>
        <v>9.7029999999999994</v>
      </c>
      <c r="J239" s="256">
        <f>Спрос!H52</f>
        <v>11.214</v>
      </c>
      <c r="K239" s="256">
        <f>Спрос!I52</f>
        <v>12.458</v>
      </c>
      <c r="L239" s="256">
        <f>Спрос!J52</f>
        <v>13.662000000000001</v>
      </c>
      <c r="M239" s="256">
        <f>Спрос!K52</f>
        <v>14.585000000000001</v>
      </c>
      <c r="N239" s="256">
        <f>Спрос!L52</f>
        <v>15.39</v>
      </c>
      <c r="O239" s="256">
        <f>Спрос!M52</f>
        <v>16.777000000000001</v>
      </c>
      <c r="P239" s="256">
        <f>Спрос!N52</f>
        <v>17.736000000000001</v>
      </c>
      <c r="Q239" s="256">
        <f>Спрос!O52</f>
        <v>18.861000000000001</v>
      </c>
      <c r="R239" s="256">
        <f>Спрос!P52</f>
        <v>19.870999999999999</v>
      </c>
      <c r="S239" s="256">
        <f>Спрос!Q52</f>
        <v>20.663</v>
      </c>
    </row>
    <row r="240" spans="3:19" ht="25.5" x14ac:dyDescent="0.25">
      <c r="C240" s="108" t="s">
        <v>1041</v>
      </c>
      <c r="D240" s="212" t="s">
        <v>1054</v>
      </c>
      <c r="E240" s="108" t="s">
        <v>136</v>
      </c>
      <c r="F240" s="256"/>
      <c r="G240" s="256">
        <f>Спрос!E53</f>
        <v>5.9669999999999996</v>
      </c>
      <c r="H240" s="256">
        <f>Спрос!F53</f>
        <v>2.426000000000001</v>
      </c>
      <c r="I240" s="256">
        <f>Спрос!G53</f>
        <v>1.3099999999999987</v>
      </c>
      <c r="J240" s="256">
        <f>Спрос!H53</f>
        <v>1.511000000000001</v>
      </c>
      <c r="K240" s="256">
        <f>Спрос!I53</f>
        <v>1.2439999999999998</v>
      </c>
      <c r="L240" s="256">
        <f>Спрос!J53</f>
        <v>1.2040000000000006</v>
      </c>
      <c r="M240" s="256">
        <f>Спрос!K53</f>
        <v>0.92300000000000004</v>
      </c>
      <c r="N240" s="256">
        <f>Спрос!L53</f>
        <v>0.80499999999999972</v>
      </c>
      <c r="O240" s="256">
        <f>Спрос!M53</f>
        <v>1.3870000000000005</v>
      </c>
      <c r="P240" s="256">
        <f>Спрос!N53</f>
        <v>0.95899999999999963</v>
      </c>
      <c r="Q240" s="256">
        <f>Спрос!O53</f>
        <v>1.125</v>
      </c>
      <c r="R240" s="256">
        <f>Спрос!P53</f>
        <v>1.009999999999998</v>
      </c>
      <c r="S240" s="256">
        <f>Спрос!Q53</f>
        <v>0.79</v>
      </c>
    </row>
    <row r="241" spans="3:19" x14ac:dyDescent="0.25">
      <c r="C241" s="108" t="s">
        <v>239</v>
      </c>
      <c r="D241" s="212" t="s">
        <v>1055</v>
      </c>
      <c r="E241" s="108" t="s">
        <v>136</v>
      </c>
      <c r="F241" s="256">
        <f>Спрос!D54</f>
        <v>18.21</v>
      </c>
      <c r="G241" s="256">
        <f>Спрос!E54</f>
        <v>18.902999999999999</v>
      </c>
      <c r="H241" s="256">
        <f>Спрос!F54</f>
        <v>19.242999999999999</v>
      </c>
      <c r="I241" s="256">
        <f>Спрос!G54</f>
        <v>19.552</v>
      </c>
      <c r="J241" s="256">
        <f>Спрос!H54</f>
        <v>19.88</v>
      </c>
      <c r="K241" s="256">
        <f>Спрос!I54</f>
        <v>20.183</v>
      </c>
      <c r="L241" s="256">
        <f>Спрос!J54</f>
        <v>20.483000000000001</v>
      </c>
      <c r="M241" s="256">
        <f>Спрос!K54</f>
        <v>20.757000000000001</v>
      </c>
      <c r="N241" s="256">
        <f>Спрос!L54</f>
        <v>21.021000000000001</v>
      </c>
      <c r="O241" s="256">
        <f>Спрос!M54</f>
        <v>21.337</v>
      </c>
      <c r="P241" s="256">
        <f>Спрос!N54</f>
        <v>21.614999999999998</v>
      </c>
      <c r="Q241" s="256">
        <f>Спрос!O54</f>
        <v>21.908000000000001</v>
      </c>
      <c r="R241" s="256">
        <f>Спрос!P54</f>
        <v>22.19</v>
      </c>
      <c r="S241" s="256">
        <f>Спрос!Q54</f>
        <v>22.452999999999999</v>
      </c>
    </row>
    <row r="242" spans="3:19" ht="25.5" x14ac:dyDescent="0.25">
      <c r="C242" s="108">
        <v>2</v>
      </c>
      <c r="D242" s="108" t="s">
        <v>1042</v>
      </c>
      <c r="E242" s="108"/>
      <c r="F242" s="256"/>
      <c r="G242" s="256"/>
      <c r="H242" s="256"/>
      <c r="I242" s="256"/>
      <c r="J242" s="256"/>
      <c r="K242" s="256"/>
      <c r="L242" s="256"/>
      <c r="M242" s="256"/>
      <c r="N242" s="256"/>
      <c r="O242" s="256"/>
      <c r="P242" s="256"/>
      <c r="Q242" s="256"/>
      <c r="R242" s="256"/>
      <c r="S242" s="256"/>
    </row>
    <row r="243" spans="3:19" ht="25.5" x14ac:dyDescent="0.25">
      <c r="C243" s="108" t="s">
        <v>257</v>
      </c>
      <c r="D243" s="212" t="s">
        <v>1043</v>
      </c>
      <c r="E243" s="108" t="s">
        <v>122</v>
      </c>
      <c r="F243" s="256">
        <v>10.45</v>
      </c>
      <c r="G243" s="232">
        <v>10.209999999999999</v>
      </c>
      <c r="H243" s="232">
        <v>9.9699999999999989</v>
      </c>
      <c r="I243" s="232">
        <v>9.7299999999999986</v>
      </c>
      <c r="J243" s="232">
        <v>9.4899999999999984</v>
      </c>
      <c r="K243" s="232">
        <v>9.2499999999999982</v>
      </c>
      <c r="L243" s="232">
        <v>9.009999999999998</v>
      </c>
      <c r="M243" s="232">
        <v>8.7699999999999978</v>
      </c>
      <c r="N243" s="232">
        <v>8.5299999999999976</v>
      </c>
      <c r="O243" s="232">
        <v>8.2899999999999974</v>
      </c>
      <c r="P243" s="232">
        <v>8.0499999999999972</v>
      </c>
      <c r="Q243" s="232">
        <v>7.8099999999999969</v>
      </c>
      <c r="R243" s="232">
        <v>7.5699999999999967</v>
      </c>
      <c r="S243" s="232">
        <v>7.3299999999999965</v>
      </c>
    </row>
    <row r="244" spans="3:19" x14ac:dyDescent="0.25">
      <c r="C244" s="108">
        <v>3</v>
      </c>
      <c r="D244" s="108" t="s">
        <v>1044</v>
      </c>
      <c r="E244" s="108"/>
      <c r="F244" s="256"/>
      <c r="G244" s="256"/>
      <c r="H244" s="256"/>
      <c r="I244" s="256"/>
      <c r="J244" s="256"/>
      <c r="K244" s="256"/>
      <c r="L244" s="256"/>
      <c r="M244" s="256"/>
      <c r="N244" s="256"/>
      <c r="O244" s="256"/>
      <c r="P244" s="256"/>
      <c r="Q244" s="256"/>
      <c r="R244" s="256"/>
      <c r="S244" s="256"/>
    </row>
    <row r="245" spans="3:19" ht="38.25" x14ac:dyDescent="0.25">
      <c r="C245" s="108" t="s">
        <v>260</v>
      </c>
      <c r="D245" s="212" t="s">
        <v>1045</v>
      </c>
      <c r="E245" s="108" t="s">
        <v>1046</v>
      </c>
      <c r="F245" s="256">
        <v>3.75</v>
      </c>
      <c r="G245" s="256">
        <v>3.64</v>
      </c>
      <c r="H245" s="256">
        <v>3.53</v>
      </c>
      <c r="I245" s="256">
        <v>3.42</v>
      </c>
      <c r="J245" s="256">
        <v>3.31</v>
      </c>
      <c r="K245" s="256">
        <v>3.2</v>
      </c>
      <c r="L245" s="256">
        <v>3.09</v>
      </c>
      <c r="M245" s="256">
        <v>2.98</v>
      </c>
      <c r="N245" s="256">
        <v>2.87</v>
      </c>
      <c r="O245" s="256">
        <v>2.76</v>
      </c>
      <c r="P245" s="256">
        <v>2.65</v>
      </c>
      <c r="Q245" s="256">
        <v>2.54</v>
      </c>
      <c r="R245" s="256">
        <v>2.4300000000000002</v>
      </c>
      <c r="S245" s="256">
        <v>2.23</v>
      </c>
    </row>
    <row r="246" spans="3:19" ht="25.5" x14ac:dyDescent="0.25">
      <c r="C246" s="108" t="s">
        <v>261</v>
      </c>
      <c r="D246" s="212" t="s">
        <v>1047</v>
      </c>
      <c r="E246" s="108" t="s">
        <v>1048</v>
      </c>
      <c r="F246" s="256">
        <v>1.23</v>
      </c>
      <c r="G246" s="256">
        <v>1.2</v>
      </c>
      <c r="H246" s="256">
        <v>1.17</v>
      </c>
      <c r="I246" s="256">
        <v>1.1399999999999999</v>
      </c>
      <c r="J246" s="256">
        <v>1.1100000000000001</v>
      </c>
      <c r="K246" s="256">
        <v>1.08</v>
      </c>
      <c r="L246" s="256">
        <v>1.05</v>
      </c>
      <c r="M246" s="256">
        <v>1.02</v>
      </c>
      <c r="N246" s="256">
        <v>0.99</v>
      </c>
      <c r="O246" s="256">
        <v>0.96</v>
      </c>
      <c r="P246" s="256">
        <v>0.93</v>
      </c>
      <c r="Q246" s="256">
        <v>0.9</v>
      </c>
      <c r="R246" s="256">
        <v>0.87</v>
      </c>
      <c r="S246" s="256">
        <v>0.85</v>
      </c>
    </row>
    <row r="247" spans="3:19" ht="25.5" x14ac:dyDescent="0.25">
      <c r="C247" s="108">
        <v>4</v>
      </c>
      <c r="D247" s="108" t="s">
        <v>124</v>
      </c>
      <c r="E247" s="108" t="s">
        <v>412</v>
      </c>
      <c r="F247" s="256"/>
      <c r="G247" s="256"/>
      <c r="H247" s="256"/>
      <c r="I247" s="256"/>
      <c r="J247" s="256"/>
      <c r="K247" s="256"/>
      <c r="L247" s="256"/>
      <c r="M247" s="256"/>
      <c r="N247" s="256"/>
      <c r="O247" s="256"/>
      <c r="P247" s="256"/>
      <c r="Q247" s="256"/>
      <c r="R247" s="256"/>
      <c r="S247" s="256"/>
    </row>
    <row r="248" spans="3:19" ht="25.5" x14ac:dyDescent="0.25">
      <c r="C248" s="208" t="s">
        <v>123</v>
      </c>
      <c r="D248" s="212" t="s">
        <v>565</v>
      </c>
      <c r="E248" s="209" t="s">
        <v>122</v>
      </c>
      <c r="F248" s="256">
        <v>99.96</v>
      </c>
      <c r="G248" s="232">
        <v>100</v>
      </c>
      <c r="H248" s="232">
        <v>100</v>
      </c>
      <c r="I248" s="232">
        <v>100</v>
      </c>
      <c r="J248" s="232">
        <v>100</v>
      </c>
      <c r="K248" s="232">
        <v>100</v>
      </c>
      <c r="L248" s="232">
        <v>100</v>
      </c>
      <c r="M248" s="232">
        <v>100</v>
      </c>
      <c r="N248" s="232">
        <v>100</v>
      </c>
      <c r="O248" s="232">
        <v>100</v>
      </c>
      <c r="P248" s="232">
        <v>100</v>
      </c>
      <c r="Q248" s="232">
        <v>100</v>
      </c>
      <c r="R248" s="232">
        <v>100</v>
      </c>
      <c r="S248" s="232">
        <v>100</v>
      </c>
    </row>
    <row r="249" spans="3:19" ht="25.5" x14ac:dyDescent="0.25">
      <c r="C249" s="208" t="s">
        <v>132</v>
      </c>
      <c r="D249" s="212" t="s">
        <v>566</v>
      </c>
      <c r="E249" s="209" t="s">
        <v>122</v>
      </c>
      <c r="F249" s="232">
        <v>100</v>
      </c>
      <c r="G249" s="232">
        <v>100</v>
      </c>
      <c r="H249" s="232">
        <v>100</v>
      </c>
      <c r="I249" s="232">
        <v>100</v>
      </c>
      <c r="J249" s="232">
        <v>100</v>
      </c>
      <c r="K249" s="232">
        <v>100</v>
      </c>
      <c r="L249" s="232">
        <v>100</v>
      </c>
      <c r="M249" s="232">
        <v>100</v>
      </c>
      <c r="N249" s="232">
        <v>100</v>
      </c>
      <c r="O249" s="232">
        <v>100</v>
      </c>
      <c r="P249" s="232">
        <v>100</v>
      </c>
      <c r="Q249" s="232">
        <v>100</v>
      </c>
      <c r="R249" s="232">
        <v>100</v>
      </c>
      <c r="S249" s="232">
        <v>100</v>
      </c>
    </row>
    <row r="250" spans="3:19" ht="25.5" x14ac:dyDescent="0.25">
      <c r="C250" s="208" t="s">
        <v>1049</v>
      </c>
      <c r="D250" s="212" t="s">
        <v>567</v>
      </c>
      <c r="E250" s="209" t="s">
        <v>122</v>
      </c>
      <c r="F250" s="232">
        <v>100</v>
      </c>
      <c r="G250" s="232">
        <v>100</v>
      </c>
      <c r="H250" s="232">
        <v>100</v>
      </c>
      <c r="I250" s="232">
        <v>100</v>
      </c>
      <c r="J250" s="232">
        <v>100</v>
      </c>
      <c r="K250" s="232">
        <v>100</v>
      </c>
      <c r="L250" s="232">
        <v>100</v>
      </c>
      <c r="M250" s="232">
        <v>100</v>
      </c>
      <c r="N250" s="232">
        <v>100</v>
      </c>
      <c r="O250" s="232">
        <v>100</v>
      </c>
      <c r="P250" s="232">
        <v>100</v>
      </c>
      <c r="Q250" s="232">
        <v>100</v>
      </c>
      <c r="R250" s="232">
        <v>100</v>
      </c>
      <c r="S250" s="232">
        <v>100</v>
      </c>
    </row>
    <row r="251" spans="3:19" ht="38.25" x14ac:dyDescent="0.25">
      <c r="C251" s="208" t="s">
        <v>1050</v>
      </c>
      <c r="D251" s="212" t="s">
        <v>1057</v>
      </c>
      <c r="E251" s="209" t="s">
        <v>122</v>
      </c>
      <c r="F251" s="302">
        <v>59</v>
      </c>
      <c r="G251" s="302">
        <v>64</v>
      </c>
      <c r="H251" s="302">
        <v>69</v>
      </c>
      <c r="I251" s="302">
        <v>74</v>
      </c>
      <c r="J251" s="302">
        <v>78</v>
      </c>
      <c r="K251" s="302">
        <v>83</v>
      </c>
      <c r="L251" s="302">
        <v>86</v>
      </c>
      <c r="M251" s="302">
        <v>89</v>
      </c>
      <c r="N251" s="302">
        <v>92</v>
      </c>
      <c r="O251" s="302">
        <v>95</v>
      </c>
      <c r="P251" s="302">
        <v>98</v>
      </c>
      <c r="Q251" s="302">
        <v>100</v>
      </c>
      <c r="R251" s="302">
        <v>100</v>
      </c>
      <c r="S251" s="302">
        <v>100</v>
      </c>
    </row>
    <row r="252" spans="3:19" x14ac:dyDescent="0.25">
      <c r="C252" s="108">
        <v>5</v>
      </c>
      <c r="D252" s="108" t="s">
        <v>1051</v>
      </c>
      <c r="E252" s="108" t="s">
        <v>412</v>
      </c>
      <c r="F252" s="256"/>
      <c r="G252" s="256"/>
      <c r="H252" s="256"/>
      <c r="I252" s="256"/>
      <c r="J252" s="256"/>
      <c r="K252" s="256"/>
      <c r="L252" s="256"/>
      <c r="M252" s="256"/>
      <c r="N252" s="256"/>
      <c r="O252" s="256"/>
      <c r="P252" s="256"/>
      <c r="Q252" s="256"/>
      <c r="R252" s="256"/>
      <c r="S252" s="256"/>
    </row>
    <row r="253" spans="3:19" ht="25.5" x14ac:dyDescent="0.25">
      <c r="C253" s="208" t="s">
        <v>125</v>
      </c>
      <c r="D253" s="212" t="s">
        <v>1052</v>
      </c>
      <c r="E253" s="209" t="s">
        <v>122</v>
      </c>
      <c r="F253" s="302">
        <v>10</v>
      </c>
      <c r="G253" s="302">
        <v>20</v>
      </c>
      <c r="H253" s="302">
        <v>30</v>
      </c>
      <c r="I253" s="302">
        <v>40</v>
      </c>
      <c r="J253" s="302">
        <v>50</v>
      </c>
      <c r="K253" s="302">
        <v>60</v>
      </c>
      <c r="L253" s="302">
        <v>70</v>
      </c>
      <c r="M253" s="302">
        <v>80</v>
      </c>
      <c r="N253" s="302">
        <v>90</v>
      </c>
      <c r="O253" s="302">
        <v>100</v>
      </c>
      <c r="P253" s="302">
        <v>100</v>
      </c>
      <c r="Q253" s="302">
        <v>100</v>
      </c>
      <c r="R253" s="302">
        <v>100</v>
      </c>
      <c r="S253" s="302">
        <v>100</v>
      </c>
    </row>
  </sheetData>
  <mergeCells count="6">
    <mergeCell ref="C233:S234"/>
    <mergeCell ref="C221:S222"/>
    <mergeCell ref="C189:S190"/>
    <mergeCell ref="C1:S2"/>
    <mergeCell ref="C170:S171"/>
    <mergeCell ref="C209:S210"/>
  </mergeCells>
  <conditionalFormatting sqref="F248:S253">
    <cfRule type="cellIs" dxfId="8" priority="1" operator="greaterThan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R218"/>
  <sheetViews>
    <sheetView topLeftCell="B61" zoomScale="80" zoomScaleNormal="80" workbookViewId="0">
      <selection activeCell="Y203" sqref="Y203"/>
    </sheetView>
  </sheetViews>
  <sheetFormatPr defaultColWidth="9.1640625" defaultRowHeight="12.75" x14ac:dyDescent="0.2"/>
  <cols>
    <col min="1" max="1" width="20" style="22" hidden="1" customWidth="1"/>
    <col min="2" max="2" width="9.1640625" style="22"/>
    <col min="3" max="3" width="25.83203125" style="22" customWidth="1"/>
    <col min="4" max="4" width="19.1640625" style="22" customWidth="1"/>
    <col min="5" max="5" width="12.6640625" style="22" customWidth="1"/>
    <col min="6" max="6" width="10.83203125" style="22" customWidth="1"/>
    <col min="7" max="7" width="16.5" style="23" customWidth="1"/>
    <col min="8" max="23" width="13" style="23" customWidth="1"/>
    <col min="24" max="24" width="14.33203125" style="23" customWidth="1"/>
    <col min="25" max="25" width="13" style="23" customWidth="1"/>
    <col min="26" max="26" width="9.1640625" style="22"/>
    <col min="27" max="27" width="28.33203125" style="22" customWidth="1"/>
    <col min="28" max="28" width="14" style="22" customWidth="1"/>
    <col min="29" max="30" width="9.1640625" style="22"/>
    <col min="31" max="31" width="10.83203125" style="22" hidden="1" customWidth="1"/>
    <col min="32" max="32" width="10.83203125" style="22" customWidth="1"/>
    <col min="33" max="39" width="15.5" style="22" customWidth="1"/>
    <col min="40" max="43" width="15.5" style="22" hidden="1" customWidth="1"/>
    <col min="44" max="44" width="15.5" style="22" customWidth="1"/>
    <col min="45" max="48" width="15.5" style="22" hidden="1" customWidth="1"/>
    <col min="49" max="49" width="15.5" style="22" customWidth="1"/>
    <col min="50" max="50" width="9.1640625" style="22"/>
    <col min="51" max="51" width="26" style="22" customWidth="1"/>
    <col min="52" max="52" width="15" style="22" customWidth="1"/>
    <col min="53" max="54" width="9.1640625" style="22"/>
    <col min="55" max="55" width="11.83203125" style="22" hidden="1" customWidth="1"/>
    <col min="56" max="63" width="11.83203125" style="22" customWidth="1"/>
    <col min="64" max="67" width="11.83203125" style="22" hidden="1" customWidth="1"/>
    <col min="68" max="68" width="11.83203125" style="22" customWidth="1"/>
    <col min="69" max="72" width="11.83203125" style="22" hidden="1" customWidth="1"/>
    <col min="73" max="73" width="11.83203125" style="22" customWidth="1"/>
    <col min="74" max="74" width="9.1640625" style="22"/>
    <col min="75" max="75" width="26.6640625" style="22" customWidth="1"/>
    <col min="76" max="76" width="16.5" style="22" customWidth="1"/>
    <col min="77" max="78" width="9.1640625" style="22"/>
    <col min="79" max="97" width="13.83203125" style="22" customWidth="1"/>
    <col min="98" max="98" width="9.1640625" style="22"/>
    <col min="99" max="99" width="26" style="22" customWidth="1"/>
    <col min="100" max="100" width="15.5" style="22" customWidth="1"/>
    <col min="101" max="103" width="9.1640625" style="22"/>
    <col min="104" max="121" width="11.5" style="22" customWidth="1"/>
    <col min="122" max="122" width="9.1640625" style="22"/>
    <col min="123" max="123" width="25.6640625" style="22" customWidth="1"/>
    <col min="124" max="124" width="15.83203125" style="22" customWidth="1"/>
    <col min="125" max="129" width="10.83203125" style="22" customWidth="1"/>
    <col min="130" max="131" width="11.5" style="22" bestFit="1" customWidth="1"/>
    <col min="132" max="145" width="11.5" style="22" customWidth="1"/>
    <col min="146" max="146" width="9.1640625" style="22"/>
    <col min="147" max="147" width="26.6640625" style="22" customWidth="1"/>
    <col min="148" max="148" width="15.33203125" style="22" customWidth="1"/>
    <col min="149" max="155" width="11.6640625" style="22" customWidth="1"/>
    <col min="156" max="156" width="9.1640625" style="22"/>
    <col min="157" max="157" width="26.83203125" style="22" customWidth="1"/>
    <col min="158" max="158" width="14.5" style="22" customWidth="1"/>
    <col min="159" max="159" width="14" style="22" customWidth="1"/>
    <col min="160" max="160" width="11.6640625" style="22" customWidth="1"/>
    <col min="161" max="161" width="15.1640625" style="22" customWidth="1"/>
    <col min="162" max="162" width="9.1640625" style="22"/>
    <col min="163" max="163" width="11.5" style="22" customWidth="1"/>
    <col min="164" max="166" width="9.1640625" style="22"/>
    <col min="167" max="167" width="26" style="22" customWidth="1"/>
    <col min="168" max="168" width="14.5" style="22" customWidth="1"/>
    <col min="169" max="169" width="13.5" style="22" customWidth="1"/>
    <col min="170" max="171" width="10.6640625" style="22" customWidth="1"/>
    <col min="172" max="16384" width="9.1640625" style="22"/>
  </cols>
  <sheetData>
    <row r="3" spans="1:145" x14ac:dyDescent="0.2">
      <c r="A3" s="93">
        <f>SUM(D9:D27,D30:D48,AA9:AA27,AA30:AA48,AY9:AY27,AY30:AY48)-'Программа инв. проектов'!R3</f>
        <v>0</v>
      </c>
      <c r="C3" s="93" t="str">
        <f>Фин.потребности!C4</f>
        <v>МУП «Югорскэнергогаз» ТС</v>
      </c>
      <c r="DS3" s="120"/>
    </row>
    <row r="5" spans="1:145" x14ac:dyDescent="0.2">
      <c r="A5" s="26" t="s">
        <v>34</v>
      </c>
      <c r="C5" s="419" t="s">
        <v>266</v>
      </c>
      <c r="D5" s="419"/>
      <c r="E5" s="419"/>
      <c r="F5" s="419"/>
      <c r="G5" s="419"/>
      <c r="H5" s="419"/>
      <c r="I5" s="419"/>
      <c r="J5" s="419"/>
      <c r="K5" s="419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</row>
    <row r="6" spans="1:145" s="26" customFormat="1" x14ac:dyDescent="0.2">
      <c r="C6" s="411" t="s">
        <v>267</v>
      </c>
      <c r="D6" s="411" t="s">
        <v>268</v>
      </c>
      <c r="E6" s="411" t="s">
        <v>269</v>
      </c>
      <c r="F6" s="411" t="s">
        <v>270</v>
      </c>
      <c r="G6" s="223" t="s">
        <v>271</v>
      </c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"/>
      <c r="U6" s="22"/>
      <c r="V6" s="22"/>
      <c r="W6" s="22"/>
      <c r="X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127"/>
      <c r="CV6" s="127"/>
      <c r="CW6" s="127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R6" s="127"/>
      <c r="DS6" s="127"/>
      <c r="DT6" s="127"/>
      <c r="DU6" s="127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</row>
    <row r="7" spans="1:145" s="26" customFormat="1" x14ac:dyDescent="0.2">
      <c r="C7" s="411"/>
      <c r="D7" s="411"/>
      <c r="E7" s="411"/>
      <c r="F7" s="411"/>
      <c r="G7" s="5">
        <v>2023</v>
      </c>
      <c r="H7" s="5">
        <v>2024</v>
      </c>
      <c r="I7" s="5">
        <v>2025</v>
      </c>
      <c r="J7" s="5">
        <v>2026</v>
      </c>
      <c r="K7" s="5">
        <v>2027</v>
      </c>
      <c r="L7" s="5">
        <v>2028</v>
      </c>
      <c r="M7" s="5">
        <v>2029</v>
      </c>
      <c r="N7" s="5">
        <v>2030</v>
      </c>
      <c r="O7" s="5">
        <v>2031</v>
      </c>
      <c r="P7" s="5">
        <v>2032</v>
      </c>
      <c r="Q7" s="5">
        <v>2033</v>
      </c>
      <c r="R7" s="5">
        <v>2034</v>
      </c>
      <c r="S7" s="5">
        <v>2035</v>
      </c>
      <c r="T7" s="22"/>
      <c r="U7" s="22"/>
      <c r="V7" s="22"/>
      <c r="W7" s="22"/>
      <c r="X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127"/>
      <c r="CV7" s="127"/>
      <c r="CW7" s="127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R7" s="127"/>
      <c r="DS7" s="127"/>
      <c r="DT7" s="127"/>
      <c r="DU7" s="127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</row>
    <row r="8" spans="1:145" s="26" customFormat="1" ht="12.75" customHeight="1" x14ac:dyDescent="0.2">
      <c r="C8" s="408" t="s">
        <v>272</v>
      </c>
      <c r="D8" s="409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22"/>
      <c r="U8" s="22"/>
      <c r="V8" s="22"/>
      <c r="W8" s="22"/>
      <c r="X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</row>
    <row r="9" spans="1:145" s="23" customFormat="1" ht="25.5" hidden="1" customHeight="1" x14ac:dyDescent="0.2">
      <c r="A9" s="22" t="s">
        <v>273</v>
      </c>
      <c r="B9" s="98"/>
      <c r="C9" s="30" t="s">
        <v>274</v>
      </c>
      <c r="D9" s="94">
        <f>SUMIFS('Перечень инв.проектов ТС'!$N$3:$N$48,'Перечень инв.проектов ТС'!$G$3:$G$48,"Объект",'Перечень инв.проектов ТС'!$B$3:$B$48,C$3)</f>
        <v>0</v>
      </c>
      <c r="E9" s="95">
        <v>15</v>
      </c>
      <c r="F9" s="81">
        <f>ROUND(100/E9,2)</f>
        <v>6.67</v>
      </c>
      <c r="G9" s="94">
        <f t="shared" ref="G9:S12" si="0">$D9*$F9/100</f>
        <v>0</v>
      </c>
      <c r="H9" s="94">
        <f t="shared" si="0"/>
        <v>0</v>
      </c>
      <c r="I9" s="94">
        <f t="shared" si="0"/>
        <v>0</v>
      </c>
      <c r="J9" s="94">
        <f t="shared" si="0"/>
        <v>0</v>
      </c>
      <c r="K9" s="94">
        <f t="shared" si="0"/>
        <v>0</v>
      </c>
      <c r="L9" s="94">
        <f t="shared" si="0"/>
        <v>0</v>
      </c>
      <c r="M9" s="94">
        <f t="shared" si="0"/>
        <v>0</v>
      </c>
      <c r="N9" s="94">
        <f t="shared" si="0"/>
        <v>0</v>
      </c>
      <c r="O9" s="94">
        <f t="shared" si="0"/>
        <v>0</v>
      </c>
      <c r="P9" s="94">
        <f t="shared" si="0"/>
        <v>0</v>
      </c>
      <c r="Q9" s="94">
        <f t="shared" si="0"/>
        <v>0</v>
      </c>
      <c r="R9" s="94">
        <f t="shared" si="0"/>
        <v>0</v>
      </c>
      <c r="S9" s="94">
        <f t="shared" si="0"/>
        <v>0</v>
      </c>
      <c r="T9" s="22"/>
      <c r="U9" s="22"/>
      <c r="V9" s="22"/>
      <c r="W9" s="22"/>
      <c r="X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123"/>
      <c r="CV9" s="123"/>
      <c r="CW9" s="124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R9" s="122"/>
      <c r="DS9" s="123"/>
      <c r="DT9" s="123"/>
      <c r="DU9" s="124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</row>
    <row r="10" spans="1:145" s="23" customFormat="1" ht="25.5" x14ac:dyDescent="0.2">
      <c r="B10" s="98"/>
      <c r="C10" s="30" t="s">
        <v>275</v>
      </c>
      <c r="D10" s="94">
        <f>SUMIFS('Перечень инв.проектов ТС'!$O$3:$O$48,'Перечень инв.проектов ТС'!$G$3:$G$48,"Объект",'Перечень инв.проектов ТС'!$B$3:$B$48,C$3)</f>
        <v>0</v>
      </c>
      <c r="E10" s="95">
        <v>15</v>
      </c>
      <c r="F10" s="81">
        <f>ROUND(100/E10,2)</f>
        <v>6.67</v>
      </c>
      <c r="G10" s="94">
        <f t="shared" si="0"/>
        <v>0</v>
      </c>
      <c r="H10" s="94">
        <f t="shared" si="0"/>
        <v>0</v>
      </c>
      <c r="I10" s="94">
        <f t="shared" si="0"/>
        <v>0</v>
      </c>
      <c r="J10" s="94">
        <f t="shared" si="0"/>
        <v>0</v>
      </c>
      <c r="K10" s="94">
        <f t="shared" si="0"/>
        <v>0</v>
      </c>
      <c r="L10" s="94">
        <f t="shared" ref="L10:S22" si="1">$D10*$F10/100</f>
        <v>0</v>
      </c>
      <c r="M10" s="94">
        <f t="shared" si="1"/>
        <v>0</v>
      </c>
      <c r="N10" s="94">
        <f t="shared" si="1"/>
        <v>0</v>
      </c>
      <c r="O10" s="94">
        <f t="shared" si="1"/>
        <v>0</v>
      </c>
      <c r="P10" s="94">
        <f t="shared" si="1"/>
        <v>0</v>
      </c>
      <c r="Q10" s="94">
        <f t="shared" si="1"/>
        <v>0</v>
      </c>
      <c r="R10" s="94">
        <f t="shared" si="1"/>
        <v>0</v>
      </c>
      <c r="S10" s="94">
        <f t="shared" si="1"/>
        <v>0</v>
      </c>
      <c r="T10" s="22"/>
      <c r="U10" s="22"/>
      <c r="V10" s="22"/>
      <c r="W10" s="22"/>
      <c r="X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123"/>
      <c r="CV10" s="123"/>
      <c r="CW10" s="124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R10" s="122"/>
      <c r="DS10" s="123"/>
      <c r="DT10" s="123"/>
      <c r="DU10" s="124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</row>
    <row r="11" spans="1:145" s="23" customFormat="1" ht="25.5" x14ac:dyDescent="0.2">
      <c r="B11" s="98"/>
      <c r="C11" s="30" t="s">
        <v>276</v>
      </c>
      <c r="D11" s="94">
        <f>SUMIFS('Перечень инв.проектов ТС'!$P$3:$P$48,'Перечень инв.проектов ТС'!$G$3:$G$48,"Объект",'Перечень инв.проектов ТС'!$B$3:$B$48,C$3)</f>
        <v>0</v>
      </c>
      <c r="E11" s="95">
        <v>15</v>
      </c>
      <c r="F11" s="81">
        <f t="shared" ref="F11:F27" si="2">ROUND(100/E11,2)</f>
        <v>6.67</v>
      </c>
      <c r="G11" s="94"/>
      <c r="H11" s="94">
        <f t="shared" si="0"/>
        <v>0</v>
      </c>
      <c r="I11" s="94">
        <f t="shared" si="0"/>
        <v>0</v>
      </c>
      <c r="J11" s="94">
        <f t="shared" si="0"/>
        <v>0</v>
      </c>
      <c r="K11" s="94">
        <f t="shared" si="0"/>
        <v>0</v>
      </c>
      <c r="L11" s="94">
        <f t="shared" si="1"/>
        <v>0</v>
      </c>
      <c r="M11" s="94">
        <f t="shared" si="1"/>
        <v>0</v>
      </c>
      <c r="N11" s="94">
        <f t="shared" si="1"/>
        <v>0</v>
      </c>
      <c r="O11" s="94">
        <f t="shared" si="1"/>
        <v>0</v>
      </c>
      <c r="P11" s="94">
        <f t="shared" si="1"/>
        <v>0</v>
      </c>
      <c r="Q11" s="94">
        <f t="shared" si="1"/>
        <v>0</v>
      </c>
      <c r="R11" s="94">
        <f t="shared" si="1"/>
        <v>0</v>
      </c>
      <c r="S11" s="94">
        <f t="shared" si="1"/>
        <v>0</v>
      </c>
      <c r="T11" s="22"/>
      <c r="U11" s="22"/>
      <c r="V11" s="22"/>
      <c r="W11" s="22"/>
      <c r="X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123"/>
      <c r="CV11" s="123"/>
      <c r="CW11" s="124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R11" s="122"/>
      <c r="DS11" s="123"/>
      <c r="DT11" s="123"/>
      <c r="DU11" s="124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</row>
    <row r="12" spans="1:145" s="23" customFormat="1" ht="25.5" x14ac:dyDescent="0.2">
      <c r="B12" s="98"/>
      <c r="C12" s="30" t="s">
        <v>277</v>
      </c>
      <c r="D12" s="94">
        <f>SUMIFS('Перечень инв.проектов ТС'!$Q$3:$Q$48,'Перечень инв.проектов ТС'!$G$3:$G$48,"Объект",'Перечень инв.проектов ТС'!$B$3:$B$48,C$3)</f>
        <v>795520</v>
      </c>
      <c r="E12" s="95">
        <v>15</v>
      </c>
      <c r="F12" s="81">
        <f t="shared" si="2"/>
        <v>6.67</v>
      </c>
      <c r="G12" s="94"/>
      <c r="H12" s="94"/>
      <c r="I12" s="94">
        <f t="shared" si="0"/>
        <v>53061.184000000001</v>
      </c>
      <c r="J12" s="94">
        <f t="shared" si="0"/>
        <v>53061.184000000001</v>
      </c>
      <c r="K12" s="94">
        <f t="shared" si="0"/>
        <v>53061.184000000001</v>
      </c>
      <c r="L12" s="94">
        <f t="shared" si="1"/>
        <v>53061.184000000001</v>
      </c>
      <c r="M12" s="94">
        <f t="shared" si="1"/>
        <v>53061.184000000001</v>
      </c>
      <c r="N12" s="94">
        <f t="shared" si="1"/>
        <v>53061.184000000001</v>
      </c>
      <c r="O12" s="94">
        <f t="shared" si="1"/>
        <v>53061.184000000001</v>
      </c>
      <c r="P12" s="94">
        <f t="shared" si="1"/>
        <v>53061.184000000001</v>
      </c>
      <c r="Q12" s="94">
        <f t="shared" si="1"/>
        <v>53061.184000000001</v>
      </c>
      <c r="R12" s="94">
        <f t="shared" si="1"/>
        <v>53061.184000000001</v>
      </c>
      <c r="S12" s="94">
        <f t="shared" si="1"/>
        <v>53061.184000000001</v>
      </c>
      <c r="T12" s="22"/>
      <c r="U12" s="22"/>
      <c r="V12" s="22"/>
      <c r="W12" s="22"/>
      <c r="X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123"/>
      <c r="CV12" s="123"/>
      <c r="CW12" s="124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R12" s="122"/>
      <c r="DS12" s="123"/>
      <c r="DT12" s="123"/>
      <c r="DU12" s="124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</row>
    <row r="13" spans="1:145" s="23" customFormat="1" ht="25.5" x14ac:dyDescent="0.2">
      <c r="B13" s="98"/>
      <c r="C13" s="30" t="s">
        <v>391</v>
      </c>
      <c r="D13" s="94">
        <f>SUMIFS('Перечень инв.проектов ТС'!$R$3:$R$48,'Перечень инв.проектов ТС'!$G$3:$G$48,"Объект",'Перечень инв.проектов ТС'!$B$3:$B$48,C$3)</f>
        <v>791620</v>
      </c>
      <c r="E13" s="95">
        <v>15</v>
      </c>
      <c r="F13" s="81">
        <f t="shared" si="2"/>
        <v>6.67</v>
      </c>
      <c r="G13" s="94"/>
      <c r="H13" s="94"/>
      <c r="I13" s="94"/>
      <c r="J13" s="94">
        <f>$D13*$F13/100</f>
        <v>52801.054000000004</v>
      </c>
      <c r="K13" s="94">
        <f>$D13*$F13/100</f>
        <v>52801.054000000004</v>
      </c>
      <c r="L13" s="94">
        <f t="shared" si="1"/>
        <v>52801.054000000004</v>
      </c>
      <c r="M13" s="94">
        <f t="shared" si="1"/>
        <v>52801.054000000004</v>
      </c>
      <c r="N13" s="94">
        <f t="shared" si="1"/>
        <v>52801.054000000004</v>
      </c>
      <c r="O13" s="94">
        <f t="shared" si="1"/>
        <v>52801.054000000004</v>
      </c>
      <c r="P13" s="94">
        <f t="shared" si="1"/>
        <v>52801.054000000004</v>
      </c>
      <c r="Q13" s="94">
        <f t="shared" si="1"/>
        <v>52801.054000000004</v>
      </c>
      <c r="R13" s="94">
        <f t="shared" si="1"/>
        <v>52801.054000000004</v>
      </c>
      <c r="S13" s="94">
        <f t="shared" si="1"/>
        <v>52801.054000000004</v>
      </c>
      <c r="T13" s="22"/>
      <c r="U13" s="22"/>
      <c r="V13" s="22"/>
      <c r="W13" s="22"/>
      <c r="X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123"/>
      <c r="CV13" s="123"/>
      <c r="CW13" s="124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R13" s="122"/>
      <c r="DS13" s="123"/>
      <c r="DT13" s="123"/>
      <c r="DU13" s="124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</row>
    <row r="14" spans="1:145" s="23" customFormat="1" ht="25.5" x14ac:dyDescent="0.2">
      <c r="B14" s="98"/>
      <c r="C14" s="30" t="s">
        <v>392</v>
      </c>
      <c r="D14" s="94">
        <f>SUMIFS('Перечень инв.проектов ТС'!$S$3:$S$48,'Перечень инв.проектов ТС'!$G$3:$G$48,"Объект",'Перечень инв.проектов ТС'!$B$3:$B$48,C$3)</f>
        <v>415347</v>
      </c>
      <c r="E14" s="95">
        <v>15</v>
      </c>
      <c r="F14" s="81">
        <f t="shared" si="2"/>
        <v>6.67</v>
      </c>
      <c r="G14" s="94"/>
      <c r="H14" s="94"/>
      <c r="I14" s="94"/>
      <c r="J14" s="94"/>
      <c r="K14" s="94">
        <f>$D14*$F14/100</f>
        <v>27703.644899999999</v>
      </c>
      <c r="L14" s="94">
        <f t="shared" si="1"/>
        <v>27703.644899999999</v>
      </c>
      <c r="M14" s="94">
        <f t="shared" si="1"/>
        <v>27703.644899999999</v>
      </c>
      <c r="N14" s="94">
        <f t="shared" si="1"/>
        <v>27703.644899999999</v>
      </c>
      <c r="O14" s="94">
        <f t="shared" si="1"/>
        <v>27703.644899999999</v>
      </c>
      <c r="P14" s="94">
        <f t="shared" si="1"/>
        <v>27703.644899999999</v>
      </c>
      <c r="Q14" s="94">
        <f t="shared" si="1"/>
        <v>27703.644899999999</v>
      </c>
      <c r="R14" s="94">
        <f t="shared" si="1"/>
        <v>27703.644899999999</v>
      </c>
      <c r="S14" s="94">
        <f t="shared" si="1"/>
        <v>27703.644899999999</v>
      </c>
      <c r="T14" s="22"/>
      <c r="U14" s="22"/>
      <c r="V14" s="22"/>
      <c r="W14" s="22"/>
      <c r="X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123"/>
      <c r="CV14" s="123"/>
      <c r="CW14" s="124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R14" s="122"/>
      <c r="DS14" s="123"/>
      <c r="DT14" s="123"/>
      <c r="DU14" s="124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</row>
    <row r="15" spans="1:145" s="23" customFormat="1" ht="25.5" x14ac:dyDescent="0.2">
      <c r="B15" s="98"/>
      <c r="C15" s="30" t="s">
        <v>393</v>
      </c>
      <c r="D15" s="94">
        <f>SUMIFS('Перечень инв.проектов ТС'!$T$3:$T$48,'Перечень инв.проектов ТС'!$G$3:$G$48,"Объект",'Перечень инв.проектов ТС'!$B$3:$B$48,C$3)</f>
        <v>135360</v>
      </c>
      <c r="E15" s="95">
        <v>15</v>
      </c>
      <c r="F15" s="81">
        <f t="shared" si="2"/>
        <v>6.67</v>
      </c>
      <c r="G15" s="94"/>
      <c r="H15" s="94"/>
      <c r="I15" s="94"/>
      <c r="J15" s="94"/>
      <c r="K15" s="94"/>
      <c r="L15" s="94">
        <f t="shared" si="1"/>
        <v>9028.5119999999988</v>
      </c>
      <c r="M15" s="94">
        <f t="shared" si="1"/>
        <v>9028.5119999999988</v>
      </c>
      <c r="N15" s="94">
        <f t="shared" si="1"/>
        <v>9028.5119999999988</v>
      </c>
      <c r="O15" s="94">
        <f t="shared" si="1"/>
        <v>9028.5119999999988</v>
      </c>
      <c r="P15" s="94">
        <f t="shared" si="1"/>
        <v>9028.5119999999988</v>
      </c>
      <c r="Q15" s="94">
        <f t="shared" si="1"/>
        <v>9028.5119999999988</v>
      </c>
      <c r="R15" s="94">
        <f t="shared" si="1"/>
        <v>9028.5119999999988</v>
      </c>
      <c r="S15" s="94">
        <f t="shared" si="1"/>
        <v>9028.5119999999988</v>
      </c>
      <c r="T15" s="22"/>
      <c r="U15" s="22"/>
      <c r="V15" s="22"/>
      <c r="W15" s="22"/>
      <c r="X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123"/>
      <c r="CV15" s="123"/>
      <c r="CW15" s="124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R15" s="122"/>
      <c r="DS15" s="123"/>
      <c r="DT15" s="123"/>
      <c r="DU15" s="124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</row>
    <row r="16" spans="1:145" s="23" customFormat="1" ht="25.5" x14ac:dyDescent="0.2">
      <c r="B16" s="98"/>
      <c r="C16" s="30" t="s">
        <v>394</v>
      </c>
      <c r="D16" s="94">
        <f>SUMIFS('Перечень инв.проектов ТС'!$U$3:$U$48,'Перечень инв.проектов ТС'!$G$3:$G$48,"Объект",'Перечень инв.проектов ТС'!$B$3:$B$48,C$3)</f>
        <v>330500</v>
      </c>
      <c r="E16" s="95">
        <v>15</v>
      </c>
      <c r="F16" s="81">
        <f t="shared" si="2"/>
        <v>6.67</v>
      </c>
      <c r="G16" s="94"/>
      <c r="H16" s="94"/>
      <c r="I16" s="94"/>
      <c r="J16" s="94"/>
      <c r="K16" s="94"/>
      <c r="L16" s="94"/>
      <c r="M16" s="94">
        <f t="shared" si="1"/>
        <v>22044.35</v>
      </c>
      <c r="N16" s="94">
        <f t="shared" si="1"/>
        <v>22044.35</v>
      </c>
      <c r="O16" s="94">
        <f t="shared" si="1"/>
        <v>22044.35</v>
      </c>
      <c r="P16" s="94">
        <f t="shared" si="1"/>
        <v>22044.35</v>
      </c>
      <c r="Q16" s="94">
        <f t="shared" si="1"/>
        <v>22044.35</v>
      </c>
      <c r="R16" s="94">
        <f t="shared" si="1"/>
        <v>22044.35</v>
      </c>
      <c r="S16" s="94">
        <f t="shared" si="1"/>
        <v>22044.35</v>
      </c>
      <c r="T16" s="22"/>
      <c r="U16" s="22"/>
      <c r="V16" s="22"/>
      <c r="W16" s="22"/>
      <c r="X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123"/>
      <c r="CV16" s="123"/>
      <c r="CW16" s="124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R16" s="122"/>
      <c r="DS16" s="123"/>
      <c r="DT16" s="123"/>
      <c r="DU16" s="124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</row>
    <row r="17" spans="1:144" s="23" customFormat="1" ht="25.5" x14ac:dyDescent="0.2">
      <c r="B17" s="98"/>
      <c r="C17" s="30" t="s">
        <v>395</v>
      </c>
      <c r="D17" s="94">
        <f>SUMIFS('Перечень инв.проектов ТС'!$V$3:$V$48,'Перечень инв.проектов ТС'!$G$3:$G$48,"Объект",'Перечень инв.проектов ТС'!$B$3:$B$48,C$3)</f>
        <v>0</v>
      </c>
      <c r="E17" s="95">
        <v>15</v>
      </c>
      <c r="F17" s="81">
        <f t="shared" si="2"/>
        <v>6.67</v>
      </c>
      <c r="G17" s="94"/>
      <c r="H17" s="94"/>
      <c r="I17" s="94"/>
      <c r="J17" s="94"/>
      <c r="K17" s="94"/>
      <c r="L17" s="94"/>
      <c r="M17" s="94"/>
      <c r="N17" s="94">
        <f t="shared" si="1"/>
        <v>0</v>
      </c>
      <c r="O17" s="94">
        <f t="shared" si="1"/>
        <v>0</v>
      </c>
      <c r="P17" s="94">
        <f t="shared" si="1"/>
        <v>0</v>
      </c>
      <c r="Q17" s="94">
        <f t="shared" si="1"/>
        <v>0</v>
      </c>
      <c r="R17" s="94">
        <f t="shared" si="1"/>
        <v>0</v>
      </c>
      <c r="S17" s="94">
        <f t="shared" si="1"/>
        <v>0</v>
      </c>
      <c r="T17" s="22"/>
      <c r="U17" s="22"/>
      <c r="V17" s="22"/>
      <c r="W17" s="22"/>
      <c r="X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123"/>
      <c r="CV17" s="123"/>
      <c r="CW17" s="124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R17" s="122"/>
      <c r="DS17" s="123"/>
      <c r="DT17" s="123"/>
      <c r="DU17" s="124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</row>
    <row r="18" spans="1:144" s="23" customFormat="1" ht="25.5" x14ac:dyDescent="0.2">
      <c r="B18" s="98"/>
      <c r="C18" s="30" t="s">
        <v>396</v>
      </c>
      <c r="D18" s="94">
        <f>SUMIFS('Перечень инв.проектов ТС'!$W$3:$W$48,'Перечень инв.проектов ТС'!$G$3:$G$48,"Объект",'Перечень инв.проектов ТС'!$B$3:$B$48,C$3)</f>
        <v>0</v>
      </c>
      <c r="E18" s="95">
        <v>15</v>
      </c>
      <c r="F18" s="81">
        <f t="shared" si="2"/>
        <v>6.67</v>
      </c>
      <c r="G18" s="94"/>
      <c r="H18" s="94"/>
      <c r="I18" s="94"/>
      <c r="J18" s="94"/>
      <c r="K18" s="94"/>
      <c r="L18" s="94"/>
      <c r="M18" s="94"/>
      <c r="N18" s="94"/>
      <c r="O18" s="94">
        <f t="shared" si="1"/>
        <v>0</v>
      </c>
      <c r="P18" s="94">
        <f t="shared" si="1"/>
        <v>0</v>
      </c>
      <c r="Q18" s="94">
        <f t="shared" si="1"/>
        <v>0</v>
      </c>
      <c r="R18" s="94">
        <f t="shared" si="1"/>
        <v>0</v>
      </c>
      <c r="S18" s="94">
        <f t="shared" si="1"/>
        <v>0</v>
      </c>
      <c r="T18" s="22"/>
      <c r="U18" s="22"/>
      <c r="V18" s="22"/>
      <c r="W18" s="22"/>
      <c r="X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123"/>
      <c r="CV18" s="123"/>
      <c r="CW18" s="124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R18" s="122"/>
      <c r="DS18" s="123"/>
      <c r="DT18" s="123"/>
      <c r="DU18" s="124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</row>
    <row r="19" spans="1:144" s="23" customFormat="1" ht="25.5" x14ac:dyDescent="0.2">
      <c r="B19" s="98"/>
      <c r="C19" s="30" t="s">
        <v>397</v>
      </c>
      <c r="D19" s="94">
        <f>SUMIFS('Перечень инв.проектов ТС'!$X$3:$X$48,'Перечень инв.проектов ТС'!$G$3:$G$48,"Объект",'Перечень инв.проектов ТС'!$B$3:$B$48,C$3)</f>
        <v>0</v>
      </c>
      <c r="E19" s="95">
        <v>15</v>
      </c>
      <c r="F19" s="81">
        <f t="shared" si="2"/>
        <v>6.67</v>
      </c>
      <c r="G19" s="94"/>
      <c r="H19" s="94"/>
      <c r="I19" s="94"/>
      <c r="J19" s="94"/>
      <c r="K19" s="94"/>
      <c r="L19" s="94"/>
      <c r="M19" s="94"/>
      <c r="N19" s="94"/>
      <c r="O19" s="94"/>
      <c r="P19" s="94">
        <f t="shared" si="1"/>
        <v>0</v>
      </c>
      <c r="Q19" s="94">
        <f t="shared" si="1"/>
        <v>0</v>
      </c>
      <c r="R19" s="94">
        <f t="shared" si="1"/>
        <v>0</v>
      </c>
      <c r="S19" s="94">
        <f t="shared" si="1"/>
        <v>0</v>
      </c>
      <c r="T19" s="22"/>
      <c r="U19" s="22"/>
      <c r="V19" s="22"/>
      <c r="W19" s="22"/>
      <c r="X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123"/>
      <c r="CV19" s="123"/>
      <c r="CW19" s="124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R19" s="122"/>
      <c r="DS19" s="123"/>
      <c r="DT19" s="123"/>
      <c r="DU19" s="124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</row>
    <row r="20" spans="1:144" s="23" customFormat="1" ht="25.5" x14ac:dyDescent="0.2">
      <c r="B20" s="98"/>
      <c r="C20" s="30" t="s">
        <v>398</v>
      </c>
      <c r="D20" s="94">
        <f>SUMIFS('Перечень инв.проектов ТС'!$Y$3:$Y$48,'Перечень инв.проектов ТС'!$G$3:$G$48,"Объект",'Перечень инв.проектов ТС'!$B$3:$B$48,C$3)</f>
        <v>0</v>
      </c>
      <c r="E20" s="95">
        <v>15</v>
      </c>
      <c r="F20" s="81">
        <f t="shared" si="2"/>
        <v>6.67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>
        <f t="shared" si="1"/>
        <v>0</v>
      </c>
      <c r="R20" s="94">
        <f t="shared" si="1"/>
        <v>0</v>
      </c>
      <c r="S20" s="94">
        <f t="shared" si="1"/>
        <v>0</v>
      </c>
      <c r="T20" s="22"/>
      <c r="U20" s="22"/>
      <c r="V20" s="22"/>
      <c r="W20" s="22"/>
      <c r="X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123"/>
      <c r="CV20" s="123"/>
      <c r="CW20" s="124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R20" s="122"/>
      <c r="DS20" s="123"/>
      <c r="DT20" s="123"/>
      <c r="DU20" s="124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</row>
    <row r="21" spans="1:144" s="23" customFormat="1" ht="25.5" x14ac:dyDescent="0.2">
      <c r="B21" s="98"/>
      <c r="C21" s="30" t="s">
        <v>399</v>
      </c>
      <c r="D21" s="94">
        <f>SUMIFS('Перечень инв.проектов ТС'!$Z$3:$Z$48,'Перечень инв.проектов ТС'!$G$3:$G$48,"Объект",'Перечень инв.проектов ТС'!$B$3:$B$48,C$3)</f>
        <v>0</v>
      </c>
      <c r="E21" s="95">
        <v>15</v>
      </c>
      <c r="F21" s="81">
        <f t="shared" si="2"/>
        <v>6.67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>
        <f t="shared" si="1"/>
        <v>0</v>
      </c>
      <c r="S21" s="94">
        <f t="shared" si="1"/>
        <v>0</v>
      </c>
      <c r="T21" s="22"/>
      <c r="U21" s="22"/>
      <c r="V21" s="22"/>
      <c r="W21" s="22"/>
      <c r="X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123"/>
      <c r="CV21" s="123"/>
      <c r="CW21" s="124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R21" s="122"/>
      <c r="DS21" s="123"/>
      <c r="DT21" s="123"/>
      <c r="DU21" s="124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</row>
    <row r="22" spans="1:144" s="23" customFormat="1" ht="25.5" x14ac:dyDescent="0.2">
      <c r="B22" s="98"/>
      <c r="C22" s="30" t="s">
        <v>400</v>
      </c>
      <c r="D22" s="94">
        <f>SUMIFS('Перечень инв.проектов ТС'!$AA$3:$AA$48,'Перечень инв.проектов ТС'!$G$3:$G$48,"Объект",'Перечень инв.проектов ТС'!$B$3:$B$48,C$3)</f>
        <v>0</v>
      </c>
      <c r="E22" s="95">
        <v>15</v>
      </c>
      <c r="F22" s="81">
        <f t="shared" si="2"/>
        <v>6.67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>
        <f t="shared" si="1"/>
        <v>0</v>
      </c>
      <c r="T22" s="22"/>
      <c r="U22" s="22"/>
      <c r="V22" s="22"/>
      <c r="W22" s="22"/>
      <c r="X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123"/>
      <c r="CV22" s="123"/>
      <c r="CW22" s="124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R22" s="122"/>
      <c r="DS22" s="123"/>
      <c r="DT22" s="123"/>
      <c r="DU22" s="124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</row>
    <row r="23" spans="1:144" s="23" customFormat="1" ht="25.5" x14ac:dyDescent="0.2">
      <c r="B23" s="98"/>
      <c r="C23" s="30" t="s">
        <v>401</v>
      </c>
      <c r="D23" s="94">
        <f>SUMIFS('Перечень инв.проектов ТС'!$AB$3:$AB$48,'Перечень инв.проектов ТС'!$G$3:$G$48,"Объект",'Перечень инв.проектов ТС'!$B$3:$B$48,C$3)</f>
        <v>0</v>
      </c>
      <c r="E23" s="95">
        <v>15</v>
      </c>
      <c r="F23" s="81">
        <f t="shared" si="2"/>
        <v>6.67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22"/>
      <c r="U23" s="22"/>
      <c r="V23" s="22"/>
      <c r="W23" s="22"/>
      <c r="X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123"/>
      <c r="CV23" s="123"/>
      <c r="CW23" s="124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R23" s="122"/>
      <c r="DS23" s="123"/>
      <c r="DT23" s="123"/>
      <c r="DU23" s="124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</row>
    <row r="24" spans="1:144" s="23" customFormat="1" ht="25.5" x14ac:dyDescent="0.2">
      <c r="B24" s="98"/>
      <c r="C24" s="30" t="s">
        <v>402</v>
      </c>
      <c r="D24" s="94">
        <f>SUMIFS('Перечень инв.проектов ТС'!$AC$3:$AC$48,'Перечень инв.проектов ТС'!$G$3:$G$48,"Объект",'Перечень инв.проектов ТС'!$B$3:$B$48,C$3)</f>
        <v>0</v>
      </c>
      <c r="E24" s="95">
        <v>15</v>
      </c>
      <c r="F24" s="81">
        <f t="shared" si="2"/>
        <v>6.67</v>
      </c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22"/>
      <c r="U24" s="22"/>
      <c r="V24" s="22"/>
      <c r="W24" s="22"/>
      <c r="X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123"/>
      <c r="CV24" s="123"/>
      <c r="CW24" s="124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R24" s="122"/>
      <c r="DS24" s="123"/>
      <c r="DT24" s="123"/>
      <c r="DU24" s="124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</row>
    <row r="25" spans="1:144" s="23" customFormat="1" ht="25.5" x14ac:dyDescent="0.2">
      <c r="B25" s="98"/>
      <c r="C25" s="30" t="s">
        <v>403</v>
      </c>
      <c r="D25" s="94">
        <f>SUMIFS('Перечень инв.проектов ТС'!$AD$3:$AD$48,'Перечень инв.проектов ТС'!$G$3:$G$48,"Объект",'Перечень инв.проектов ТС'!$B$3:$B$48,C$3)</f>
        <v>0</v>
      </c>
      <c r="E25" s="95">
        <v>15</v>
      </c>
      <c r="F25" s="81">
        <f t="shared" si="2"/>
        <v>6.67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22"/>
      <c r="U25" s="22"/>
      <c r="V25" s="22"/>
      <c r="W25" s="22"/>
      <c r="X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123"/>
      <c r="CV25" s="123"/>
      <c r="CW25" s="124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R25" s="122"/>
      <c r="DS25" s="123"/>
      <c r="DT25" s="123"/>
      <c r="DU25" s="124"/>
      <c r="DV25" s="123"/>
      <c r="DW25" s="123"/>
      <c r="DX25" s="123"/>
      <c r="DY25" s="123"/>
      <c r="DZ25" s="123"/>
      <c r="EA25" s="123"/>
      <c r="EB25" s="123"/>
      <c r="EC25" s="123"/>
      <c r="ED25" s="123"/>
      <c r="EE25" s="123"/>
      <c r="EF25" s="123"/>
      <c r="EG25" s="123"/>
      <c r="EH25" s="123"/>
      <c r="EI25" s="123"/>
      <c r="EJ25" s="123"/>
      <c r="EK25" s="123"/>
      <c r="EL25" s="123"/>
      <c r="EM25" s="123"/>
      <c r="EN25" s="123"/>
    </row>
    <row r="26" spans="1:144" s="23" customFormat="1" ht="25.5" x14ac:dyDescent="0.2">
      <c r="B26" s="98"/>
      <c r="C26" s="30" t="s">
        <v>404</v>
      </c>
      <c r="D26" s="94">
        <f>SUMIFS('Перечень инв.проектов ТС'!$AE$3:$AE$48,'Перечень инв.проектов ТС'!$G$3:$G$48,"Объект",'Перечень инв.проектов ТС'!$B$3:$B$48,C$3)</f>
        <v>0</v>
      </c>
      <c r="E26" s="95">
        <v>15</v>
      </c>
      <c r="F26" s="81">
        <f t="shared" si="2"/>
        <v>6.67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22"/>
      <c r="U26" s="22"/>
      <c r="V26" s="22"/>
      <c r="W26" s="22"/>
      <c r="X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123"/>
      <c r="CV26" s="123"/>
      <c r="CW26" s="124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R26" s="122"/>
      <c r="DS26" s="123"/>
      <c r="DT26" s="123"/>
      <c r="DU26" s="124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</row>
    <row r="27" spans="1:144" s="23" customFormat="1" ht="25.5" x14ac:dyDescent="0.2">
      <c r="B27" s="98"/>
      <c r="C27" s="30" t="s">
        <v>405</v>
      </c>
      <c r="D27" s="94">
        <f>SUMIFS('Перечень инв.проектов ТС'!$AF$3:$AF$48,'Перечень инв.проектов ТС'!$G$3:$G$48,"Объект",'Перечень инв.проектов ТС'!$B$3:$B$48,C$3)</f>
        <v>0</v>
      </c>
      <c r="E27" s="95">
        <v>15</v>
      </c>
      <c r="F27" s="81">
        <f t="shared" si="2"/>
        <v>6.67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22"/>
      <c r="U27" s="22"/>
      <c r="V27" s="22"/>
      <c r="W27" s="22"/>
      <c r="X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123"/>
      <c r="CV27" s="123"/>
      <c r="CW27" s="124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R27" s="122"/>
      <c r="DS27" s="123"/>
      <c r="DT27" s="123"/>
      <c r="DU27" s="124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</row>
    <row r="28" spans="1:144" s="96" customFormat="1" x14ac:dyDescent="0.2">
      <c r="C28" s="407" t="s">
        <v>278</v>
      </c>
      <c r="D28" s="407"/>
      <c r="E28" s="407"/>
      <c r="F28" s="407"/>
      <c r="G28" s="97">
        <f t="shared" ref="G28:S28" si="3">SUM(G9:G27)</f>
        <v>0</v>
      </c>
      <c r="H28" s="97">
        <f t="shared" si="3"/>
        <v>0</v>
      </c>
      <c r="I28" s="97">
        <f t="shared" si="3"/>
        <v>53061.184000000001</v>
      </c>
      <c r="J28" s="97">
        <f t="shared" si="3"/>
        <v>105862.23800000001</v>
      </c>
      <c r="K28" s="97">
        <f t="shared" si="3"/>
        <v>133565.88290000003</v>
      </c>
      <c r="L28" s="97">
        <f t="shared" si="3"/>
        <v>142594.39490000001</v>
      </c>
      <c r="M28" s="97">
        <f t="shared" si="3"/>
        <v>164638.74490000002</v>
      </c>
      <c r="N28" s="97">
        <f t="shared" si="3"/>
        <v>164638.74490000002</v>
      </c>
      <c r="O28" s="97">
        <f t="shared" si="3"/>
        <v>164638.74490000002</v>
      </c>
      <c r="P28" s="97">
        <f t="shared" si="3"/>
        <v>164638.74490000002</v>
      </c>
      <c r="Q28" s="97">
        <f t="shared" si="3"/>
        <v>164638.74490000002</v>
      </c>
      <c r="R28" s="97">
        <f t="shared" si="3"/>
        <v>164638.74490000002</v>
      </c>
      <c r="S28" s="97">
        <f t="shared" si="3"/>
        <v>164638.74490000002</v>
      </c>
      <c r="T28" s="22"/>
      <c r="U28" s="22"/>
      <c r="V28" s="22"/>
      <c r="W28" s="22"/>
      <c r="X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130"/>
      <c r="CV28" s="130"/>
      <c r="CW28" s="130"/>
      <c r="CX28" s="125"/>
      <c r="CY28" s="125"/>
      <c r="CZ28" s="125"/>
      <c r="DA28" s="125"/>
      <c r="DB28" s="125"/>
      <c r="DC28" s="125"/>
      <c r="DD28" s="125"/>
      <c r="DE28" s="125"/>
      <c r="DF28" s="125"/>
      <c r="DG28" s="125"/>
      <c r="DH28" s="125"/>
      <c r="DI28" s="125"/>
      <c r="DJ28" s="125"/>
      <c r="DK28" s="125"/>
      <c r="DL28" s="125"/>
      <c r="DM28" s="125"/>
      <c r="DN28" s="125"/>
      <c r="DO28" s="125"/>
      <c r="DP28" s="125"/>
      <c r="DR28" s="130"/>
      <c r="DS28" s="130"/>
      <c r="DT28" s="130"/>
      <c r="DU28" s="130"/>
      <c r="DV28" s="125"/>
      <c r="DW28" s="125"/>
      <c r="DX28" s="125"/>
      <c r="DY28" s="125"/>
      <c r="DZ28" s="125"/>
      <c r="EA28" s="125"/>
      <c r="EB28" s="125"/>
      <c r="EC28" s="125"/>
      <c r="ED28" s="125"/>
      <c r="EE28" s="125"/>
      <c r="EF28" s="125"/>
      <c r="EG28" s="125"/>
      <c r="EH28" s="125"/>
      <c r="EI28" s="125"/>
      <c r="EJ28" s="125"/>
      <c r="EK28" s="125"/>
      <c r="EL28" s="125"/>
      <c r="EM28" s="125"/>
      <c r="EN28" s="125"/>
    </row>
    <row r="29" spans="1:144" s="36" customFormat="1" x14ac:dyDescent="0.2">
      <c r="C29" s="408" t="s">
        <v>279</v>
      </c>
      <c r="D29" s="409"/>
      <c r="E29" s="409"/>
      <c r="F29" s="409"/>
      <c r="G29" s="409"/>
      <c r="H29" s="409"/>
      <c r="I29" s="409"/>
      <c r="J29" s="409"/>
      <c r="K29" s="409"/>
      <c r="L29" s="409"/>
      <c r="M29" s="409"/>
      <c r="N29" s="409"/>
      <c r="O29" s="409"/>
      <c r="P29" s="409"/>
      <c r="Q29" s="409"/>
      <c r="R29" s="409"/>
      <c r="S29" s="409"/>
      <c r="T29" s="22"/>
      <c r="U29" s="22"/>
      <c r="V29" s="22"/>
      <c r="W29" s="22"/>
      <c r="X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</row>
    <row r="30" spans="1:144" s="23" customFormat="1" ht="25.5" hidden="1" customHeight="1" x14ac:dyDescent="0.2">
      <c r="A30" s="23" t="s">
        <v>280</v>
      </c>
      <c r="C30" s="30" t="s">
        <v>274</v>
      </c>
      <c r="D30" s="94">
        <f>SUMIFS('Перечень инв.проектов ТС'!$N$3:$N$48,'Перечень инв.проектов ТС'!$G$3:$G$48,"сети",'Перечень инв.проектов ТС'!$B$3:$B$48,C$3)</f>
        <v>0</v>
      </c>
      <c r="E30" s="95">
        <v>25</v>
      </c>
      <c r="F30" s="81">
        <f>ROUND(100/E30,2)</f>
        <v>4</v>
      </c>
      <c r="G30" s="94">
        <f t="shared" ref="G30:S33" si="4">$D30*$F30/100</f>
        <v>0</v>
      </c>
      <c r="H30" s="94">
        <f t="shared" si="4"/>
        <v>0</v>
      </c>
      <c r="I30" s="94">
        <f t="shared" si="4"/>
        <v>0</v>
      </c>
      <c r="J30" s="94">
        <f t="shared" si="4"/>
        <v>0</v>
      </c>
      <c r="K30" s="94">
        <f t="shared" si="4"/>
        <v>0</v>
      </c>
      <c r="L30" s="94">
        <f t="shared" si="4"/>
        <v>0</v>
      </c>
      <c r="M30" s="94">
        <f t="shared" si="4"/>
        <v>0</v>
      </c>
      <c r="N30" s="94">
        <f t="shared" si="4"/>
        <v>0</v>
      </c>
      <c r="O30" s="94">
        <f t="shared" si="4"/>
        <v>0</v>
      </c>
      <c r="P30" s="94">
        <f t="shared" si="4"/>
        <v>0</v>
      </c>
      <c r="Q30" s="94">
        <f t="shared" si="4"/>
        <v>0</v>
      </c>
      <c r="R30" s="94">
        <f t="shared" si="4"/>
        <v>0</v>
      </c>
      <c r="S30" s="94">
        <f t="shared" si="4"/>
        <v>0</v>
      </c>
      <c r="T30" s="22"/>
      <c r="U30" s="22"/>
      <c r="V30" s="22"/>
      <c r="W30" s="22"/>
      <c r="X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123"/>
      <c r="CV30" s="123"/>
      <c r="CW30" s="124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R30" s="122"/>
      <c r="DS30" s="123"/>
      <c r="DT30" s="123"/>
      <c r="DU30" s="124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</row>
    <row r="31" spans="1:144" s="23" customFormat="1" ht="25.5" x14ac:dyDescent="0.2">
      <c r="C31" s="30" t="s">
        <v>275</v>
      </c>
      <c r="D31" s="94">
        <f>SUMIFS('Перечень инв.проектов ТС'!$O$3:$O$48,'Перечень инв.проектов ТС'!$G$3:$G$48,"сети",'Перечень инв.проектов ТС'!$B$3:$B$48,C$3)</f>
        <v>27477.4</v>
      </c>
      <c r="E31" s="95">
        <v>25</v>
      </c>
      <c r="F31" s="81">
        <f>ROUND(100/E31,2)</f>
        <v>4</v>
      </c>
      <c r="G31" s="94">
        <f t="shared" si="4"/>
        <v>1099.096</v>
      </c>
      <c r="H31" s="94">
        <f t="shared" si="4"/>
        <v>1099.096</v>
      </c>
      <c r="I31" s="94">
        <f t="shared" si="4"/>
        <v>1099.096</v>
      </c>
      <c r="J31" s="94">
        <f t="shared" si="4"/>
        <v>1099.096</v>
      </c>
      <c r="K31" s="94">
        <f t="shared" si="4"/>
        <v>1099.096</v>
      </c>
      <c r="L31" s="94">
        <f t="shared" ref="L31:S43" si="5">$D31*$F31/100</f>
        <v>1099.096</v>
      </c>
      <c r="M31" s="94">
        <f t="shared" si="5"/>
        <v>1099.096</v>
      </c>
      <c r="N31" s="94">
        <f t="shared" si="5"/>
        <v>1099.096</v>
      </c>
      <c r="O31" s="94">
        <f t="shared" si="5"/>
        <v>1099.096</v>
      </c>
      <c r="P31" s="94">
        <f t="shared" si="5"/>
        <v>1099.096</v>
      </c>
      <c r="Q31" s="94">
        <f t="shared" si="5"/>
        <v>1099.096</v>
      </c>
      <c r="R31" s="94">
        <f t="shared" si="5"/>
        <v>1099.096</v>
      </c>
      <c r="S31" s="94">
        <f t="shared" si="5"/>
        <v>1099.096</v>
      </c>
      <c r="T31" s="22"/>
      <c r="U31" s="22"/>
      <c r="V31" s="22"/>
      <c r="W31" s="22"/>
      <c r="X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123"/>
      <c r="CV31" s="123"/>
      <c r="CW31" s="124"/>
      <c r="CX31" s="123"/>
      <c r="CY31" s="123"/>
      <c r="CZ31" s="123"/>
      <c r="DA31" s="123"/>
      <c r="DB31" s="123"/>
      <c r="DC31" s="123"/>
      <c r="DD31" s="123"/>
      <c r="DE31" s="123"/>
      <c r="DF31" s="123"/>
      <c r="DG31" s="123"/>
      <c r="DH31" s="123"/>
      <c r="DI31" s="123"/>
      <c r="DJ31" s="123"/>
      <c r="DK31" s="123"/>
      <c r="DL31" s="123"/>
      <c r="DM31" s="123"/>
      <c r="DN31" s="123"/>
      <c r="DO31" s="123"/>
      <c r="DP31" s="123"/>
      <c r="DR31" s="122"/>
      <c r="DS31" s="123"/>
      <c r="DT31" s="123"/>
      <c r="DU31" s="124"/>
      <c r="DV31" s="123"/>
      <c r="DW31" s="123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</row>
    <row r="32" spans="1:144" s="23" customFormat="1" ht="25.5" x14ac:dyDescent="0.2">
      <c r="C32" s="30" t="s">
        <v>276</v>
      </c>
      <c r="D32" s="94">
        <f>SUMIFS('Перечень инв.проектов ТС'!$P$3:$P$48,'Перечень инв.проектов ТС'!$G$3:$G$48,"сети",'Перечень инв.проектов ТС'!$B$3:$B$48,C$3)</f>
        <v>126792.01471157232</v>
      </c>
      <c r="E32" s="95">
        <v>25</v>
      </c>
      <c r="F32" s="81">
        <f>ROUND(100/E32,2)</f>
        <v>4</v>
      </c>
      <c r="G32" s="94"/>
      <c r="H32" s="94">
        <f t="shared" si="4"/>
        <v>5071.680588462893</v>
      </c>
      <c r="I32" s="94">
        <f t="shared" si="4"/>
        <v>5071.680588462893</v>
      </c>
      <c r="J32" s="94">
        <f t="shared" si="4"/>
        <v>5071.680588462893</v>
      </c>
      <c r="K32" s="94">
        <f t="shared" si="4"/>
        <v>5071.680588462893</v>
      </c>
      <c r="L32" s="94">
        <f t="shared" si="5"/>
        <v>5071.680588462893</v>
      </c>
      <c r="M32" s="94">
        <f t="shared" si="5"/>
        <v>5071.680588462893</v>
      </c>
      <c r="N32" s="94">
        <f t="shared" si="5"/>
        <v>5071.680588462893</v>
      </c>
      <c r="O32" s="94">
        <f t="shared" si="5"/>
        <v>5071.680588462893</v>
      </c>
      <c r="P32" s="94">
        <f t="shared" si="5"/>
        <v>5071.680588462893</v>
      </c>
      <c r="Q32" s="94">
        <f t="shared" si="5"/>
        <v>5071.680588462893</v>
      </c>
      <c r="R32" s="94">
        <f t="shared" si="5"/>
        <v>5071.680588462893</v>
      </c>
      <c r="S32" s="94">
        <f t="shared" si="5"/>
        <v>5071.680588462893</v>
      </c>
      <c r="T32" s="22"/>
      <c r="U32" s="22"/>
      <c r="V32" s="22"/>
      <c r="W32" s="22"/>
      <c r="X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123"/>
      <c r="CV32" s="123"/>
      <c r="CW32" s="124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R32" s="122"/>
      <c r="DS32" s="123"/>
      <c r="DT32" s="123"/>
      <c r="DU32" s="124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</row>
    <row r="33" spans="3:144" s="23" customFormat="1" ht="25.5" x14ac:dyDescent="0.2">
      <c r="C33" s="30" t="s">
        <v>277</v>
      </c>
      <c r="D33" s="94">
        <f>SUMIFS('Перечень инв.проектов ТС'!$Q$3:$Q$48,'Перечень инв.проектов ТС'!$G$3:$G$48,"сети",'Перечень инв.проектов ТС'!$B$3:$B$48,C$3)</f>
        <v>362046.70828738605</v>
      </c>
      <c r="E33" s="95">
        <v>25</v>
      </c>
      <c r="F33" s="81">
        <f>ROUND(100/E33,2)</f>
        <v>4</v>
      </c>
      <c r="G33" s="94"/>
      <c r="H33" s="94"/>
      <c r="I33" s="94">
        <f t="shared" si="4"/>
        <v>14481.868331495441</v>
      </c>
      <c r="J33" s="94">
        <f t="shared" si="4"/>
        <v>14481.868331495441</v>
      </c>
      <c r="K33" s="94">
        <f t="shared" si="4"/>
        <v>14481.868331495441</v>
      </c>
      <c r="L33" s="94">
        <f t="shared" si="5"/>
        <v>14481.868331495441</v>
      </c>
      <c r="M33" s="94">
        <f t="shared" si="5"/>
        <v>14481.868331495441</v>
      </c>
      <c r="N33" s="94">
        <f t="shared" si="5"/>
        <v>14481.868331495441</v>
      </c>
      <c r="O33" s="94">
        <f t="shared" si="5"/>
        <v>14481.868331495441</v>
      </c>
      <c r="P33" s="94">
        <f t="shared" si="5"/>
        <v>14481.868331495441</v>
      </c>
      <c r="Q33" s="94">
        <f t="shared" si="5"/>
        <v>14481.868331495441</v>
      </c>
      <c r="R33" s="94">
        <f t="shared" si="5"/>
        <v>14481.868331495441</v>
      </c>
      <c r="S33" s="94">
        <f t="shared" si="5"/>
        <v>14481.868331495441</v>
      </c>
      <c r="T33" s="22"/>
      <c r="U33" s="22"/>
      <c r="V33" s="22"/>
      <c r="W33" s="22"/>
      <c r="X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123"/>
      <c r="CV33" s="123"/>
      <c r="CW33" s="124"/>
      <c r="CX33" s="123"/>
      <c r="CY33" s="123"/>
      <c r="CZ33" s="123"/>
      <c r="DA33" s="123"/>
      <c r="DB33" s="123"/>
      <c r="DC33" s="123"/>
      <c r="DD33" s="123"/>
      <c r="DE33" s="123"/>
      <c r="DF33" s="123"/>
      <c r="DG33" s="123"/>
      <c r="DH33" s="123"/>
      <c r="DI33" s="123"/>
      <c r="DJ33" s="123"/>
      <c r="DK33" s="123"/>
      <c r="DL33" s="123"/>
      <c r="DM33" s="123"/>
      <c r="DN33" s="123"/>
      <c r="DO33" s="123"/>
      <c r="DP33" s="123"/>
      <c r="DR33" s="122"/>
      <c r="DS33" s="123"/>
      <c r="DT33" s="123"/>
      <c r="DU33" s="124"/>
      <c r="DV33" s="123"/>
      <c r="DW33" s="123"/>
      <c r="DX33" s="123"/>
      <c r="DY33" s="123"/>
      <c r="DZ33" s="123"/>
      <c r="EA33" s="123"/>
      <c r="EB33" s="123"/>
      <c r="EC33" s="123"/>
      <c r="ED33" s="123"/>
      <c r="EE33" s="123"/>
      <c r="EF33" s="123"/>
      <c r="EG33" s="123"/>
      <c r="EH33" s="123"/>
      <c r="EI33" s="123"/>
      <c r="EJ33" s="123"/>
      <c r="EK33" s="123"/>
      <c r="EL33" s="123"/>
      <c r="EM33" s="123"/>
      <c r="EN33" s="123"/>
    </row>
    <row r="34" spans="3:144" s="23" customFormat="1" ht="25.5" x14ac:dyDescent="0.2">
      <c r="C34" s="30" t="s">
        <v>391</v>
      </c>
      <c r="D34" s="94">
        <f>SUMIFS('Перечень инв.проектов ТС'!$R$3:$R$48,'Перечень инв.проектов ТС'!$G$3:$G$48,"сети",'Перечень инв.проектов ТС'!$B$3:$B$48,C$3)</f>
        <v>311582.52039429452</v>
      </c>
      <c r="E34" s="95">
        <v>25</v>
      </c>
      <c r="F34" s="81">
        <f t="shared" ref="F34:F48" si="6">ROUND(100/E34,2)</f>
        <v>4</v>
      </c>
      <c r="G34" s="94"/>
      <c r="H34" s="94"/>
      <c r="I34" s="94"/>
      <c r="J34" s="94">
        <f>$D34*$F34/100</f>
        <v>12463.300815771781</v>
      </c>
      <c r="K34" s="94">
        <f>$D34*$F34/100</f>
        <v>12463.300815771781</v>
      </c>
      <c r="L34" s="94">
        <f t="shared" si="5"/>
        <v>12463.300815771781</v>
      </c>
      <c r="M34" s="94">
        <f t="shared" si="5"/>
        <v>12463.300815771781</v>
      </c>
      <c r="N34" s="94">
        <f t="shared" si="5"/>
        <v>12463.300815771781</v>
      </c>
      <c r="O34" s="94">
        <f t="shared" si="5"/>
        <v>12463.300815771781</v>
      </c>
      <c r="P34" s="94">
        <f t="shared" si="5"/>
        <v>12463.300815771781</v>
      </c>
      <c r="Q34" s="94">
        <f t="shared" si="5"/>
        <v>12463.300815771781</v>
      </c>
      <c r="R34" s="94">
        <f t="shared" si="5"/>
        <v>12463.300815771781</v>
      </c>
      <c r="S34" s="94">
        <f t="shared" si="5"/>
        <v>12463.300815771781</v>
      </c>
      <c r="T34" s="22"/>
      <c r="U34" s="22"/>
      <c r="V34" s="22"/>
      <c r="W34" s="22"/>
      <c r="X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123"/>
      <c r="CV34" s="123"/>
      <c r="CW34" s="124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R34" s="122"/>
      <c r="DS34" s="123"/>
      <c r="DT34" s="123"/>
      <c r="DU34" s="124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</row>
    <row r="35" spans="3:144" s="23" customFormat="1" ht="25.5" x14ac:dyDescent="0.2">
      <c r="C35" s="30" t="s">
        <v>392</v>
      </c>
      <c r="D35" s="94">
        <f>SUMIFS('Перечень инв.проектов ТС'!$S$3:$S$48,'Перечень инв.проектов ТС'!$G$3:$G$48,"сети",'Перечень инв.проектов ТС'!$B$3:$B$48,C$3)</f>
        <v>355348.05314069992</v>
      </c>
      <c r="E35" s="95">
        <v>25</v>
      </c>
      <c r="F35" s="81">
        <f t="shared" si="6"/>
        <v>4</v>
      </c>
      <c r="G35" s="94"/>
      <c r="H35" s="94"/>
      <c r="I35" s="94"/>
      <c r="J35" s="94"/>
      <c r="K35" s="94">
        <f>$D35*$F35/100</f>
        <v>14213.922125627996</v>
      </c>
      <c r="L35" s="94">
        <f t="shared" si="5"/>
        <v>14213.922125627996</v>
      </c>
      <c r="M35" s="94">
        <f t="shared" si="5"/>
        <v>14213.922125627996</v>
      </c>
      <c r="N35" s="94">
        <f t="shared" si="5"/>
        <v>14213.922125627996</v>
      </c>
      <c r="O35" s="94">
        <f t="shared" si="5"/>
        <v>14213.922125627996</v>
      </c>
      <c r="P35" s="94">
        <f t="shared" si="5"/>
        <v>14213.922125627996</v>
      </c>
      <c r="Q35" s="94">
        <f t="shared" si="5"/>
        <v>14213.922125627996</v>
      </c>
      <c r="R35" s="94">
        <f t="shared" si="5"/>
        <v>14213.922125627996</v>
      </c>
      <c r="S35" s="94">
        <f t="shared" si="5"/>
        <v>14213.922125627996</v>
      </c>
      <c r="T35" s="22"/>
      <c r="U35" s="22"/>
      <c r="V35" s="22"/>
      <c r="W35" s="22"/>
      <c r="X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123"/>
      <c r="CV35" s="123"/>
      <c r="CW35" s="124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R35" s="122"/>
      <c r="DS35" s="123"/>
      <c r="DT35" s="123"/>
      <c r="DU35" s="124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</row>
    <row r="36" spans="3:144" s="23" customFormat="1" ht="25.5" x14ac:dyDescent="0.2">
      <c r="C36" s="30" t="s">
        <v>393</v>
      </c>
      <c r="D36" s="94">
        <f>SUMIFS('Перечень инв.проектов ТС'!$T$3:$T$48,'Перечень инв.проектов ТС'!$G$3:$G$48,"сети",'Перечень инв.проектов ТС'!$B$3:$B$48,C$3)</f>
        <v>310760</v>
      </c>
      <c r="E36" s="95">
        <v>25</v>
      </c>
      <c r="F36" s="81">
        <f t="shared" si="6"/>
        <v>4</v>
      </c>
      <c r="G36" s="94"/>
      <c r="H36" s="94"/>
      <c r="I36" s="94"/>
      <c r="J36" s="94"/>
      <c r="K36" s="94"/>
      <c r="L36" s="94">
        <f t="shared" si="5"/>
        <v>12430.4</v>
      </c>
      <c r="M36" s="94">
        <f t="shared" si="5"/>
        <v>12430.4</v>
      </c>
      <c r="N36" s="94">
        <f t="shared" si="5"/>
        <v>12430.4</v>
      </c>
      <c r="O36" s="94">
        <f t="shared" si="5"/>
        <v>12430.4</v>
      </c>
      <c r="P36" s="94">
        <f t="shared" si="5"/>
        <v>12430.4</v>
      </c>
      <c r="Q36" s="94">
        <f t="shared" si="5"/>
        <v>12430.4</v>
      </c>
      <c r="R36" s="94">
        <f t="shared" si="5"/>
        <v>12430.4</v>
      </c>
      <c r="S36" s="94">
        <f t="shared" si="5"/>
        <v>12430.4</v>
      </c>
      <c r="T36" s="22"/>
      <c r="U36" s="22"/>
      <c r="V36" s="22"/>
      <c r="W36" s="22"/>
      <c r="X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123"/>
      <c r="CV36" s="123"/>
      <c r="CW36" s="124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R36" s="122"/>
      <c r="DS36" s="123"/>
      <c r="DT36" s="123"/>
      <c r="DU36" s="124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</row>
    <row r="37" spans="3:144" s="23" customFormat="1" ht="25.5" x14ac:dyDescent="0.2">
      <c r="C37" s="30" t="s">
        <v>394</v>
      </c>
      <c r="D37" s="94">
        <f>SUMIFS('Перечень инв.проектов ТС'!$U$3:$U$48,'Перечень инв.проектов ТС'!$G$3:$G$48,"сети",'Перечень инв.проектов ТС'!$B$3:$B$48,C$3)</f>
        <v>119480.30346604726</v>
      </c>
      <c r="E37" s="95">
        <v>25</v>
      </c>
      <c r="F37" s="81">
        <f t="shared" si="6"/>
        <v>4</v>
      </c>
      <c r="G37" s="94"/>
      <c r="H37" s="94"/>
      <c r="I37" s="94"/>
      <c r="J37" s="94"/>
      <c r="K37" s="94"/>
      <c r="L37" s="94"/>
      <c r="M37" s="94">
        <f t="shared" si="5"/>
        <v>4779.2121386418903</v>
      </c>
      <c r="N37" s="94">
        <f t="shared" si="5"/>
        <v>4779.2121386418903</v>
      </c>
      <c r="O37" s="94">
        <f t="shared" si="5"/>
        <v>4779.2121386418903</v>
      </c>
      <c r="P37" s="94">
        <f t="shared" si="5"/>
        <v>4779.2121386418903</v>
      </c>
      <c r="Q37" s="94">
        <f t="shared" si="5"/>
        <v>4779.2121386418903</v>
      </c>
      <c r="R37" s="94">
        <f t="shared" si="5"/>
        <v>4779.2121386418903</v>
      </c>
      <c r="S37" s="94">
        <f t="shared" si="5"/>
        <v>4779.2121386418903</v>
      </c>
      <c r="T37" s="22"/>
      <c r="U37" s="22"/>
      <c r="V37" s="22"/>
      <c r="W37" s="22"/>
      <c r="X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123"/>
      <c r="CV37" s="123"/>
      <c r="CW37" s="124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R37" s="122"/>
      <c r="DS37" s="123"/>
      <c r="DT37" s="123"/>
      <c r="DU37" s="124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</row>
    <row r="38" spans="3:144" s="23" customFormat="1" ht="25.5" x14ac:dyDescent="0.2">
      <c r="C38" s="30" t="s">
        <v>395</v>
      </c>
      <c r="D38" s="94">
        <f>SUMIFS('Перечень инв.проектов ТС'!$V$3:$V$48,'Перечень инв.проектов ТС'!$G$3:$G$48,"сети",'Перечень инв.проектов ТС'!$B$3:$B$48,C$3)</f>
        <v>0</v>
      </c>
      <c r="E38" s="95">
        <v>25</v>
      </c>
      <c r="F38" s="81">
        <f t="shared" si="6"/>
        <v>4</v>
      </c>
      <c r="G38" s="94"/>
      <c r="H38" s="94"/>
      <c r="I38" s="94"/>
      <c r="J38" s="94"/>
      <c r="K38" s="94"/>
      <c r="L38" s="94"/>
      <c r="M38" s="94"/>
      <c r="N38" s="94">
        <f t="shared" si="5"/>
        <v>0</v>
      </c>
      <c r="O38" s="94">
        <f t="shared" si="5"/>
        <v>0</v>
      </c>
      <c r="P38" s="94">
        <f t="shared" si="5"/>
        <v>0</v>
      </c>
      <c r="Q38" s="94">
        <f t="shared" si="5"/>
        <v>0</v>
      </c>
      <c r="R38" s="94">
        <f t="shared" si="5"/>
        <v>0</v>
      </c>
      <c r="S38" s="94">
        <f t="shared" si="5"/>
        <v>0</v>
      </c>
      <c r="T38" s="22"/>
      <c r="U38" s="22"/>
      <c r="V38" s="22"/>
      <c r="W38" s="22"/>
      <c r="X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123"/>
      <c r="CV38" s="123"/>
      <c r="CW38" s="124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R38" s="122"/>
      <c r="DS38" s="123"/>
      <c r="DT38" s="123"/>
      <c r="DU38" s="124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123"/>
      <c r="EI38" s="123"/>
      <c r="EJ38" s="123"/>
      <c r="EK38" s="123"/>
      <c r="EL38" s="123"/>
      <c r="EM38" s="123"/>
      <c r="EN38" s="123"/>
    </row>
    <row r="39" spans="3:144" s="23" customFormat="1" ht="25.5" x14ac:dyDescent="0.2">
      <c r="C39" s="30" t="s">
        <v>396</v>
      </c>
      <c r="D39" s="94">
        <f>SUMIFS('Перечень инв.проектов ТС'!$W$3:$W$48,'Перечень инв.проектов ТС'!$G$3:$G$48,"сети",'Перечень инв.проектов ТС'!$B$3:$B$48,C$3)</f>
        <v>0</v>
      </c>
      <c r="E39" s="95">
        <v>25</v>
      </c>
      <c r="F39" s="81">
        <f t="shared" si="6"/>
        <v>4</v>
      </c>
      <c r="G39" s="94"/>
      <c r="H39" s="94"/>
      <c r="I39" s="94"/>
      <c r="J39" s="94"/>
      <c r="K39" s="94"/>
      <c r="L39" s="94"/>
      <c r="M39" s="94"/>
      <c r="N39" s="94"/>
      <c r="O39" s="94">
        <f t="shared" si="5"/>
        <v>0</v>
      </c>
      <c r="P39" s="94">
        <f t="shared" si="5"/>
        <v>0</v>
      </c>
      <c r="Q39" s="94">
        <f t="shared" si="5"/>
        <v>0</v>
      </c>
      <c r="R39" s="94">
        <f t="shared" si="5"/>
        <v>0</v>
      </c>
      <c r="S39" s="94">
        <f t="shared" si="5"/>
        <v>0</v>
      </c>
      <c r="T39" s="22"/>
      <c r="U39" s="22"/>
      <c r="V39" s="22"/>
      <c r="W39" s="22"/>
      <c r="X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123"/>
      <c r="CV39" s="123"/>
      <c r="CW39" s="124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R39" s="122"/>
      <c r="DS39" s="123"/>
      <c r="DT39" s="123"/>
      <c r="DU39" s="124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</row>
    <row r="40" spans="3:144" s="23" customFormat="1" ht="25.5" x14ac:dyDescent="0.2">
      <c r="C40" s="30" t="s">
        <v>397</v>
      </c>
      <c r="D40" s="94">
        <f>SUMIFS('Перечень инв.проектов ТС'!$X$3:$X$48,'Перечень инв.проектов ТС'!$G$3:$G$48,"сети",'Перечень инв.проектов ТС'!$B$3:$B$48,C$3)</f>
        <v>0</v>
      </c>
      <c r="E40" s="95">
        <v>25</v>
      </c>
      <c r="F40" s="81">
        <f t="shared" si="6"/>
        <v>4</v>
      </c>
      <c r="G40" s="94"/>
      <c r="H40" s="94"/>
      <c r="I40" s="94"/>
      <c r="J40" s="94"/>
      <c r="K40" s="94"/>
      <c r="L40" s="94"/>
      <c r="M40" s="94"/>
      <c r="N40" s="94"/>
      <c r="O40" s="94"/>
      <c r="P40" s="94">
        <f t="shared" si="5"/>
        <v>0</v>
      </c>
      <c r="Q40" s="94">
        <f t="shared" si="5"/>
        <v>0</v>
      </c>
      <c r="R40" s="94">
        <f t="shared" si="5"/>
        <v>0</v>
      </c>
      <c r="S40" s="94">
        <f t="shared" si="5"/>
        <v>0</v>
      </c>
      <c r="T40" s="22"/>
      <c r="U40" s="22"/>
      <c r="V40" s="22"/>
      <c r="W40" s="22"/>
      <c r="X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123"/>
      <c r="CV40" s="123"/>
      <c r="CW40" s="124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R40" s="122"/>
      <c r="DS40" s="123"/>
      <c r="DT40" s="123"/>
      <c r="DU40" s="124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</row>
    <row r="41" spans="3:144" s="23" customFormat="1" ht="25.5" x14ac:dyDescent="0.2">
      <c r="C41" s="30" t="s">
        <v>398</v>
      </c>
      <c r="D41" s="94">
        <f>SUMIFS('Перечень инв.проектов ТС'!$Y$3:$Y$48,'Перечень инв.проектов ТС'!$G$3:$G$48,"сети",'Перечень инв.проектов ТС'!$B$3:$B$48,C$3)</f>
        <v>0</v>
      </c>
      <c r="E41" s="95">
        <v>25</v>
      </c>
      <c r="F41" s="81">
        <f t="shared" si="6"/>
        <v>4</v>
      </c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>
        <f t="shared" si="5"/>
        <v>0</v>
      </c>
      <c r="R41" s="94">
        <f t="shared" si="5"/>
        <v>0</v>
      </c>
      <c r="S41" s="94">
        <f t="shared" si="5"/>
        <v>0</v>
      </c>
      <c r="T41" s="22"/>
      <c r="U41" s="22"/>
      <c r="V41" s="22"/>
      <c r="W41" s="22"/>
      <c r="X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123"/>
      <c r="CV41" s="123"/>
      <c r="CW41" s="124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R41" s="122"/>
      <c r="DS41" s="123"/>
      <c r="DT41" s="123"/>
      <c r="DU41" s="124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</row>
    <row r="42" spans="3:144" s="23" customFormat="1" ht="25.5" x14ac:dyDescent="0.2">
      <c r="C42" s="30" t="s">
        <v>399</v>
      </c>
      <c r="D42" s="94">
        <f>SUMIFS('Перечень инв.проектов ТС'!$Z$3:$Z$48,'Перечень инв.проектов ТС'!$G$3:$G$48,"сети",'Перечень инв.проектов ТС'!$B$3:$B$48,C$3)</f>
        <v>0</v>
      </c>
      <c r="E42" s="95">
        <v>25</v>
      </c>
      <c r="F42" s="81">
        <f t="shared" si="6"/>
        <v>4</v>
      </c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>
        <f t="shared" si="5"/>
        <v>0</v>
      </c>
      <c r="S42" s="94">
        <f t="shared" si="5"/>
        <v>0</v>
      </c>
      <c r="T42" s="22"/>
      <c r="U42" s="22"/>
      <c r="V42" s="22"/>
      <c r="W42" s="22"/>
      <c r="X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123"/>
      <c r="CV42" s="123"/>
      <c r="CW42" s="124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R42" s="122"/>
      <c r="DS42" s="123"/>
      <c r="DT42" s="123"/>
      <c r="DU42" s="124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</row>
    <row r="43" spans="3:144" s="23" customFormat="1" ht="25.5" x14ac:dyDescent="0.2">
      <c r="C43" s="30" t="s">
        <v>400</v>
      </c>
      <c r="D43" s="94">
        <f>SUMIFS('Перечень инв.проектов ТС'!$AA$3:$AA$48,'Перечень инв.проектов ТС'!$G$3:$G$48,"сети",'Перечень инв.проектов ТС'!$B$3:$B$48,C$3)</f>
        <v>0</v>
      </c>
      <c r="E43" s="95">
        <v>25</v>
      </c>
      <c r="F43" s="81">
        <f t="shared" si="6"/>
        <v>4</v>
      </c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>
        <f t="shared" si="5"/>
        <v>0</v>
      </c>
      <c r="T43" s="22"/>
      <c r="U43" s="22"/>
      <c r="V43" s="22"/>
      <c r="W43" s="22"/>
      <c r="X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123"/>
      <c r="CV43" s="123"/>
      <c r="CW43" s="124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R43" s="122"/>
      <c r="DS43" s="123"/>
      <c r="DT43" s="123"/>
      <c r="DU43" s="124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</row>
    <row r="44" spans="3:144" s="23" customFormat="1" ht="25.5" x14ac:dyDescent="0.2">
      <c r="C44" s="30" t="s">
        <v>401</v>
      </c>
      <c r="D44" s="94">
        <f>SUMIFS('Перечень инв.проектов ТС'!$AB$3:$AB$48,'Перечень инв.проектов ТС'!$G$3:$G$48,"сети",'Перечень инв.проектов ТС'!$B$3:$B$48,C$3)</f>
        <v>0</v>
      </c>
      <c r="E44" s="95">
        <v>25</v>
      </c>
      <c r="F44" s="81">
        <f t="shared" si="6"/>
        <v>4</v>
      </c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22"/>
      <c r="U44" s="22"/>
      <c r="V44" s="22"/>
      <c r="W44" s="22"/>
      <c r="X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123"/>
      <c r="CV44" s="123"/>
      <c r="CW44" s="124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R44" s="122"/>
      <c r="DS44" s="123"/>
      <c r="DT44" s="123"/>
      <c r="DU44" s="124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</row>
    <row r="45" spans="3:144" s="23" customFormat="1" ht="25.5" x14ac:dyDescent="0.2">
      <c r="C45" s="30" t="s">
        <v>402</v>
      </c>
      <c r="D45" s="94">
        <f>SUMIFS('Перечень инв.проектов ТС'!$AC$3:$AC$48,'Перечень инв.проектов ТС'!$G$3:$G$48,"сети",'Перечень инв.проектов ТС'!$B$3:$B$48,C$3)</f>
        <v>0</v>
      </c>
      <c r="E45" s="95">
        <v>25</v>
      </c>
      <c r="F45" s="81">
        <f t="shared" si="6"/>
        <v>4</v>
      </c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22"/>
      <c r="U45" s="22"/>
      <c r="V45" s="22"/>
      <c r="W45" s="22"/>
      <c r="X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123"/>
      <c r="CV45" s="123"/>
      <c r="CW45" s="124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R45" s="122"/>
      <c r="DS45" s="123"/>
      <c r="DT45" s="123"/>
      <c r="DU45" s="124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</row>
    <row r="46" spans="3:144" s="23" customFormat="1" ht="25.5" x14ac:dyDescent="0.2">
      <c r="C46" s="30" t="s">
        <v>403</v>
      </c>
      <c r="D46" s="94">
        <f>SUMIFS('Перечень инв.проектов ТС'!$AD$3:$AD$48,'Перечень инв.проектов ТС'!$G$3:$G$48,"сети",'Перечень инв.проектов ТС'!$B$3:$B$48,C$3)</f>
        <v>0</v>
      </c>
      <c r="E46" s="95">
        <v>25</v>
      </c>
      <c r="F46" s="81">
        <f t="shared" si="6"/>
        <v>4</v>
      </c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22"/>
      <c r="U46" s="22"/>
      <c r="V46" s="22"/>
      <c r="W46" s="22"/>
      <c r="X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123"/>
      <c r="CV46" s="123"/>
      <c r="CW46" s="124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R46" s="122"/>
      <c r="DS46" s="123"/>
      <c r="DT46" s="123"/>
      <c r="DU46" s="124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</row>
    <row r="47" spans="3:144" s="23" customFormat="1" ht="25.5" x14ac:dyDescent="0.2">
      <c r="C47" s="30" t="s">
        <v>404</v>
      </c>
      <c r="D47" s="94">
        <f>SUMIFS('Перечень инв.проектов ТС'!$AE$3:$AE$48,'Перечень инв.проектов ТС'!$G$3:$G$48,"сети",'Перечень инв.проектов ТС'!$B$3:$B$48,C$3)</f>
        <v>0</v>
      </c>
      <c r="E47" s="95">
        <v>25</v>
      </c>
      <c r="F47" s="81">
        <f t="shared" si="6"/>
        <v>4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22"/>
      <c r="U47" s="22"/>
      <c r="V47" s="22"/>
      <c r="W47" s="22"/>
      <c r="X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123"/>
      <c r="CV47" s="123"/>
      <c r="CW47" s="124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R47" s="122"/>
      <c r="DS47" s="123"/>
      <c r="DT47" s="123"/>
      <c r="DU47" s="124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</row>
    <row r="48" spans="3:144" s="23" customFormat="1" ht="25.5" x14ac:dyDescent="0.2">
      <c r="C48" s="30" t="s">
        <v>405</v>
      </c>
      <c r="D48" s="94">
        <f>SUMIFS('Перечень инв.проектов ТС'!$AF$3:$AF$48,'Перечень инв.проектов ТС'!$G$3:$G$48,"сети",'Перечень инв.проектов ТС'!$B$3:$B$48,C$3)</f>
        <v>0</v>
      </c>
      <c r="E48" s="95">
        <v>25</v>
      </c>
      <c r="F48" s="81">
        <f t="shared" si="6"/>
        <v>4</v>
      </c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22"/>
      <c r="U48" s="22"/>
      <c r="V48" s="22"/>
      <c r="W48" s="22"/>
      <c r="X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123"/>
      <c r="CV48" s="123"/>
      <c r="CW48" s="124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R48" s="122"/>
      <c r="DS48" s="123"/>
      <c r="DT48" s="123"/>
      <c r="DU48" s="124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</row>
    <row r="49" spans="1:144" s="96" customFormat="1" x14ac:dyDescent="0.2">
      <c r="C49" s="407" t="s">
        <v>278</v>
      </c>
      <c r="D49" s="407"/>
      <c r="E49" s="407"/>
      <c r="F49" s="407"/>
      <c r="G49" s="97">
        <f t="shared" ref="G49" si="7">SUM(G30:G48)</f>
        <v>1099.096</v>
      </c>
      <c r="H49" s="97">
        <f t="shared" ref="H49" si="8">SUM(H30:H48)</f>
        <v>6170.7765884628934</v>
      </c>
      <c r="I49" s="97">
        <f t="shared" ref="I49" si="9">SUM(I30:I48)</f>
        <v>20652.644919958337</v>
      </c>
      <c r="J49" s="97">
        <f t="shared" ref="J49" si="10">SUM(J30:J48)</f>
        <v>33115.945735730114</v>
      </c>
      <c r="K49" s="97">
        <f t="shared" ref="K49" si="11">SUM(K30:K48)</f>
        <v>47329.867861358114</v>
      </c>
      <c r="L49" s="97">
        <f t="shared" ref="L49" si="12">SUM(L30:L48)</f>
        <v>59760.267861358116</v>
      </c>
      <c r="M49" s="97">
        <f t="shared" ref="M49" si="13">SUM(M30:M48)</f>
        <v>64539.48</v>
      </c>
      <c r="N49" s="97">
        <f t="shared" ref="N49" si="14">SUM(N30:N48)</f>
        <v>64539.48</v>
      </c>
      <c r="O49" s="97">
        <f t="shared" ref="O49" si="15">SUM(O30:O48)</f>
        <v>64539.48</v>
      </c>
      <c r="P49" s="97">
        <f t="shared" ref="P49" si="16">SUM(P30:P48)</f>
        <v>64539.48</v>
      </c>
      <c r="Q49" s="97">
        <f t="shared" ref="Q49" si="17">SUM(Q30:Q48)</f>
        <v>64539.48</v>
      </c>
      <c r="R49" s="97">
        <f t="shared" ref="R49" si="18">SUM(R30:R48)</f>
        <v>64539.48</v>
      </c>
      <c r="S49" s="97">
        <f t="shared" ref="S49" si="19">SUM(S30:S48)</f>
        <v>64539.48</v>
      </c>
      <c r="T49" s="22"/>
      <c r="U49" s="22"/>
      <c r="V49" s="22"/>
      <c r="W49" s="22"/>
      <c r="X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130"/>
      <c r="CV49" s="130"/>
      <c r="CW49" s="130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R49" s="130"/>
      <c r="DS49" s="130"/>
      <c r="DT49" s="130"/>
      <c r="DU49" s="130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</row>
    <row r="50" spans="1:144" s="96" customFormat="1" x14ac:dyDescent="0.2">
      <c r="C50" s="407" t="s">
        <v>151</v>
      </c>
      <c r="D50" s="407"/>
      <c r="E50" s="407"/>
      <c r="F50" s="407"/>
      <c r="G50" s="97">
        <f t="shared" ref="G50:S50" si="20">G28+G49</f>
        <v>1099.096</v>
      </c>
      <c r="H50" s="97">
        <f t="shared" si="20"/>
        <v>6170.7765884628934</v>
      </c>
      <c r="I50" s="97">
        <f t="shared" si="20"/>
        <v>73713.828919958338</v>
      </c>
      <c r="J50" s="97">
        <f t="shared" si="20"/>
        <v>138978.18373573013</v>
      </c>
      <c r="K50" s="97">
        <f t="shared" si="20"/>
        <v>180895.75076135813</v>
      </c>
      <c r="L50" s="97">
        <f t="shared" si="20"/>
        <v>202354.66276135814</v>
      </c>
      <c r="M50" s="97">
        <f t="shared" si="20"/>
        <v>229178.22490000003</v>
      </c>
      <c r="N50" s="97">
        <f t="shared" si="20"/>
        <v>229178.22490000003</v>
      </c>
      <c r="O50" s="97">
        <f t="shared" si="20"/>
        <v>229178.22490000003</v>
      </c>
      <c r="P50" s="97">
        <f t="shared" si="20"/>
        <v>229178.22490000003</v>
      </c>
      <c r="Q50" s="97">
        <f t="shared" si="20"/>
        <v>229178.22490000003</v>
      </c>
      <c r="R50" s="97">
        <f t="shared" si="20"/>
        <v>229178.22490000003</v>
      </c>
      <c r="S50" s="97">
        <f t="shared" si="20"/>
        <v>229178.22490000003</v>
      </c>
      <c r="T50" s="22"/>
      <c r="U50" s="22"/>
      <c r="V50" s="22"/>
      <c r="W50" s="22"/>
      <c r="X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130"/>
      <c r="CV50" s="130"/>
      <c r="CW50" s="130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R50" s="130"/>
      <c r="DS50" s="130"/>
      <c r="DT50" s="130"/>
      <c r="DU50" s="130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</row>
    <row r="51" spans="1:144" x14ac:dyDescent="0.2">
      <c r="U51" s="22"/>
      <c r="V51" s="22"/>
      <c r="W51" s="22"/>
      <c r="X51" s="22"/>
      <c r="Y51" s="22"/>
    </row>
    <row r="52" spans="1:144" x14ac:dyDescent="0.2">
      <c r="A52" s="93">
        <f>SUM(D57:D69,D73:D85)-'Программа инв. проектов'!R29</f>
        <v>0</v>
      </c>
      <c r="C52" s="194" t="str">
        <f>Фин.потребности!C13</f>
        <v>МУП "Югорскэнергогаз" ВС</v>
      </c>
    </row>
    <row r="53" spans="1:144" x14ac:dyDescent="0.2">
      <c r="A53" s="26" t="s">
        <v>407</v>
      </c>
      <c r="C53" s="411" t="s">
        <v>267</v>
      </c>
      <c r="D53" s="411" t="s">
        <v>281</v>
      </c>
      <c r="E53" s="411" t="s">
        <v>269</v>
      </c>
      <c r="F53" s="411" t="s">
        <v>270</v>
      </c>
      <c r="G53" s="412" t="s">
        <v>271</v>
      </c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22"/>
      <c r="U53" s="22"/>
      <c r="V53" s="22"/>
      <c r="W53" s="22"/>
      <c r="X53" s="22"/>
      <c r="Y53" s="22"/>
    </row>
    <row r="54" spans="1:144" x14ac:dyDescent="0.2">
      <c r="C54" s="411"/>
      <c r="D54" s="411"/>
      <c r="E54" s="411"/>
      <c r="F54" s="411"/>
      <c r="G54" s="5">
        <v>2023</v>
      </c>
      <c r="H54" s="5">
        <v>2024</v>
      </c>
      <c r="I54" s="5">
        <v>2025</v>
      </c>
      <c r="J54" s="5">
        <v>2026</v>
      </c>
      <c r="K54" s="5">
        <v>2027</v>
      </c>
      <c r="L54" s="5">
        <v>2028</v>
      </c>
      <c r="M54" s="5">
        <v>2029</v>
      </c>
      <c r="N54" s="5">
        <v>2030</v>
      </c>
      <c r="O54" s="5">
        <v>2031</v>
      </c>
      <c r="P54" s="5">
        <v>2032</v>
      </c>
      <c r="Q54" s="5">
        <v>2033</v>
      </c>
      <c r="R54" s="5">
        <v>2034</v>
      </c>
      <c r="S54" s="5">
        <v>2035</v>
      </c>
      <c r="T54" s="22"/>
      <c r="U54" s="22"/>
      <c r="V54" s="22"/>
      <c r="W54" s="22"/>
      <c r="X54" s="22"/>
      <c r="Y54" s="22"/>
    </row>
    <row r="55" spans="1:144" x14ac:dyDescent="0.2">
      <c r="C55" s="414" t="s">
        <v>282</v>
      </c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4"/>
      <c r="R55" s="414"/>
      <c r="S55" s="414"/>
      <c r="T55" s="22"/>
      <c r="U55" s="22"/>
      <c r="V55" s="22"/>
      <c r="W55" s="22"/>
      <c r="X55" s="22"/>
      <c r="Y55" s="22"/>
    </row>
    <row r="56" spans="1:144" ht="25.5" hidden="1" x14ac:dyDescent="0.2">
      <c r="C56" s="30" t="s">
        <v>274</v>
      </c>
      <c r="D56" s="94" t="e">
        <f>SUMIFS('Перечень инв.проектов ВС'!#REF!,'Перечень инв.проектов ВС'!$Z$3:$Z$223,"сети",'Перечень инв.проектов ВС'!$B$3:$B$223,C$52)</f>
        <v>#REF!</v>
      </c>
      <c r="E56" s="51">
        <v>30</v>
      </c>
      <c r="F56" s="82">
        <f>ROUND(100/E56,2)</f>
        <v>3.33</v>
      </c>
      <c r="G56" s="94" t="e">
        <f>$D56*$F56/100</f>
        <v>#REF!</v>
      </c>
      <c r="H56" s="94" t="e">
        <f t="shared" ref="H56:S69" si="21">$D56*$F56/100</f>
        <v>#REF!</v>
      </c>
      <c r="I56" s="94" t="e">
        <f t="shared" si="21"/>
        <v>#REF!</v>
      </c>
      <c r="J56" s="94" t="e">
        <f t="shared" si="21"/>
        <v>#REF!</v>
      </c>
      <c r="K56" s="94" t="e">
        <f t="shared" si="21"/>
        <v>#REF!</v>
      </c>
      <c r="L56" s="94" t="e">
        <f t="shared" si="21"/>
        <v>#REF!</v>
      </c>
      <c r="M56" s="94" t="e">
        <f t="shared" si="21"/>
        <v>#REF!</v>
      </c>
      <c r="N56" s="94" t="e">
        <f t="shared" si="21"/>
        <v>#REF!</v>
      </c>
      <c r="O56" s="94" t="e">
        <f t="shared" si="21"/>
        <v>#REF!</v>
      </c>
      <c r="P56" s="94" t="e">
        <f t="shared" si="21"/>
        <v>#REF!</v>
      </c>
      <c r="Q56" s="94" t="e">
        <f t="shared" si="21"/>
        <v>#REF!</v>
      </c>
      <c r="R56" s="94" t="e">
        <f t="shared" si="21"/>
        <v>#REF!</v>
      </c>
      <c r="S56" s="94" t="e">
        <f t="shared" si="21"/>
        <v>#REF!</v>
      </c>
      <c r="T56" s="22"/>
      <c r="U56" s="22"/>
      <c r="V56" s="22"/>
      <c r="W56" s="22"/>
      <c r="X56" s="22"/>
      <c r="Y56" s="22"/>
    </row>
    <row r="57" spans="1:144" ht="25.5" x14ac:dyDescent="0.2">
      <c r="C57" s="30" t="s">
        <v>275</v>
      </c>
      <c r="D57" s="94">
        <f>SUMIFS('Перечень инв.проектов ВС'!$L$3:$L$223,'Перечень инв.проектов ВС'!$Z$3:$Z$223,"сети",'Перечень инв.проектов ВС'!$B$3:$B$223,C$52)</f>
        <v>47711</v>
      </c>
      <c r="E57" s="51">
        <v>30</v>
      </c>
      <c r="F57" s="82">
        <f>ROUND(100/E57,2)</f>
        <v>3.33</v>
      </c>
      <c r="G57" s="94">
        <f>$D57*$F57/100</f>
        <v>1588.7763</v>
      </c>
      <c r="H57" s="94">
        <f t="shared" si="21"/>
        <v>1588.7763</v>
      </c>
      <c r="I57" s="94">
        <f t="shared" si="21"/>
        <v>1588.7763</v>
      </c>
      <c r="J57" s="94">
        <f t="shared" si="21"/>
        <v>1588.7763</v>
      </c>
      <c r="K57" s="94">
        <f t="shared" si="21"/>
        <v>1588.7763</v>
      </c>
      <c r="L57" s="94">
        <f t="shared" si="21"/>
        <v>1588.7763</v>
      </c>
      <c r="M57" s="94">
        <f t="shared" si="21"/>
        <v>1588.7763</v>
      </c>
      <c r="N57" s="94">
        <f t="shared" si="21"/>
        <v>1588.7763</v>
      </c>
      <c r="O57" s="94">
        <f t="shared" si="21"/>
        <v>1588.7763</v>
      </c>
      <c r="P57" s="94">
        <f t="shared" si="21"/>
        <v>1588.7763</v>
      </c>
      <c r="Q57" s="94">
        <f t="shared" si="21"/>
        <v>1588.7763</v>
      </c>
      <c r="R57" s="94">
        <f t="shared" si="21"/>
        <v>1588.7763</v>
      </c>
      <c r="S57" s="94">
        <f t="shared" si="21"/>
        <v>1588.7763</v>
      </c>
      <c r="T57" s="22"/>
      <c r="U57" s="22"/>
      <c r="V57" s="22"/>
      <c r="W57" s="22"/>
      <c r="X57" s="22"/>
      <c r="Y57" s="22"/>
    </row>
    <row r="58" spans="1:144" ht="25.5" x14ac:dyDescent="0.2">
      <c r="C58" s="30" t="s">
        <v>276</v>
      </c>
      <c r="D58" s="94">
        <f>SUMIFS('Перечень инв.проектов ВС'!$M$3:$M$223,'Перечень инв.проектов ВС'!$Z$3:$Z$223,"сети",'Перечень инв.проектов ВС'!$B$3:$B$223,C$52)</f>
        <v>89408.177489423513</v>
      </c>
      <c r="E58" s="51">
        <v>30</v>
      </c>
      <c r="F58" s="82">
        <f>ROUND(100/E58,2)</f>
        <v>3.33</v>
      </c>
      <c r="G58" s="94"/>
      <c r="H58" s="94">
        <f t="shared" si="21"/>
        <v>2977.2923103978032</v>
      </c>
      <c r="I58" s="94">
        <f t="shared" si="21"/>
        <v>2977.2923103978032</v>
      </c>
      <c r="J58" s="94">
        <f t="shared" si="21"/>
        <v>2977.2923103978032</v>
      </c>
      <c r="K58" s="94">
        <f t="shared" si="21"/>
        <v>2977.2923103978032</v>
      </c>
      <c r="L58" s="94">
        <f t="shared" si="21"/>
        <v>2977.2923103978032</v>
      </c>
      <c r="M58" s="94">
        <f t="shared" si="21"/>
        <v>2977.2923103978032</v>
      </c>
      <c r="N58" s="94">
        <f t="shared" si="21"/>
        <v>2977.2923103978032</v>
      </c>
      <c r="O58" s="94">
        <f t="shared" si="21"/>
        <v>2977.2923103978032</v>
      </c>
      <c r="P58" s="94">
        <f t="shared" si="21"/>
        <v>2977.2923103978032</v>
      </c>
      <c r="Q58" s="94">
        <f t="shared" si="21"/>
        <v>2977.2923103978032</v>
      </c>
      <c r="R58" s="94">
        <f t="shared" si="21"/>
        <v>2977.2923103978032</v>
      </c>
      <c r="S58" s="94">
        <f t="shared" si="21"/>
        <v>2977.2923103978032</v>
      </c>
      <c r="T58" s="22"/>
      <c r="U58" s="22"/>
      <c r="V58" s="22"/>
      <c r="W58" s="22"/>
      <c r="X58" s="22"/>
      <c r="Y58" s="22"/>
    </row>
    <row r="59" spans="1:144" ht="25.5" x14ac:dyDescent="0.2">
      <c r="C59" s="30" t="s">
        <v>277</v>
      </c>
      <c r="D59" s="94">
        <f>SUMIFS('Перечень инв.проектов ВС'!$N$3:$N$223,'Перечень инв.проектов ВС'!$Z$3:$Z$223,"сети",'Перечень инв.проектов ВС'!$B$3:$B$223,C$52)</f>
        <v>324802.6445710049</v>
      </c>
      <c r="E59" s="51">
        <v>30</v>
      </c>
      <c r="F59" s="82">
        <f>ROUND(100/E59,2)</f>
        <v>3.33</v>
      </c>
      <c r="G59" s="94"/>
      <c r="H59" s="94"/>
      <c r="I59" s="94">
        <f t="shared" si="21"/>
        <v>10815.928064214464</v>
      </c>
      <c r="J59" s="94">
        <f t="shared" si="21"/>
        <v>10815.928064214464</v>
      </c>
      <c r="K59" s="94">
        <f t="shared" si="21"/>
        <v>10815.928064214464</v>
      </c>
      <c r="L59" s="94">
        <f t="shared" si="21"/>
        <v>10815.928064214464</v>
      </c>
      <c r="M59" s="94">
        <f t="shared" si="21"/>
        <v>10815.928064214464</v>
      </c>
      <c r="N59" s="94">
        <f t="shared" si="21"/>
        <v>10815.928064214464</v>
      </c>
      <c r="O59" s="94">
        <f t="shared" si="21"/>
        <v>10815.928064214464</v>
      </c>
      <c r="P59" s="94">
        <f t="shared" si="21"/>
        <v>10815.928064214464</v>
      </c>
      <c r="Q59" s="94">
        <f t="shared" si="21"/>
        <v>10815.928064214464</v>
      </c>
      <c r="R59" s="94">
        <f t="shared" si="21"/>
        <v>10815.928064214464</v>
      </c>
      <c r="S59" s="94">
        <f t="shared" si="21"/>
        <v>10815.928064214464</v>
      </c>
      <c r="T59" s="22"/>
      <c r="U59" s="22"/>
      <c r="V59" s="22"/>
      <c r="W59" s="22"/>
      <c r="X59" s="22"/>
      <c r="Y59" s="22"/>
    </row>
    <row r="60" spans="1:144" ht="25.5" x14ac:dyDescent="0.2">
      <c r="C60" s="30" t="s">
        <v>391</v>
      </c>
      <c r="D60" s="94">
        <f>SUMIFS('Перечень инв.проектов ВС'!$O$3:$O$223,'Перечень инв.проектов ВС'!$Z$3:$Z$223,"сети",'Перечень инв.проектов ВС'!$B$3:$B$223,C$52)</f>
        <v>97648.115425498079</v>
      </c>
      <c r="E60" s="51">
        <v>30</v>
      </c>
      <c r="F60" s="82">
        <f>ROUND(100/E60,2)</f>
        <v>3.33</v>
      </c>
      <c r="G60" s="94"/>
      <c r="H60" s="94"/>
      <c r="I60" s="94"/>
      <c r="J60" s="94">
        <f>$D60*$F60/100</f>
        <v>3251.6822436690859</v>
      </c>
      <c r="K60" s="94">
        <f t="shared" si="21"/>
        <v>3251.6822436690859</v>
      </c>
      <c r="L60" s="94">
        <f t="shared" si="21"/>
        <v>3251.6822436690859</v>
      </c>
      <c r="M60" s="94">
        <f t="shared" si="21"/>
        <v>3251.6822436690859</v>
      </c>
      <c r="N60" s="94">
        <f t="shared" si="21"/>
        <v>3251.6822436690859</v>
      </c>
      <c r="O60" s="94">
        <f t="shared" si="21"/>
        <v>3251.6822436690859</v>
      </c>
      <c r="P60" s="94">
        <f t="shared" si="21"/>
        <v>3251.6822436690859</v>
      </c>
      <c r="Q60" s="94">
        <f t="shared" si="21"/>
        <v>3251.6822436690859</v>
      </c>
      <c r="R60" s="94">
        <f t="shared" si="21"/>
        <v>3251.6822436690859</v>
      </c>
      <c r="S60" s="94">
        <f t="shared" si="21"/>
        <v>3251.6822436690859</v>
      </c>
      <c r="T60" s="22"/>
      <c r="U60" s="22"/>
      <c r="V60" s="22"/>
      <c r="W60" s="22"/>
      <c r="X60" s="22"/>
      <c r="Y60" s="22"/>
    </row>
    <row r="61" spans="1:144" ht="25.5" x14ac:dyDescent="0.2">
      <c r="C61" s="30" t="s">
        <v>392</v>
      </c>
      <c r="D61" s="94">
        <f>SUMIFS('Перечень инв.проектов ВС'!$P$3:$P$223,'Перечень инв.проектов ВС'!$Z$3:$Z$223,"сети",'Перечень инв.проектов ВС'!$B$3:$B$223,C$52)</f>
        <v>100375.34036799893</v>
      </c>
      <c r="E61" s="51">
        <v>30</v>
      </c>
      <c r="F61" s="82">
        <f t="shared" ref="F61:F69" si="22">ROUND(100/E61,2)</f>
        <v>3.33</v>
      </c>
      <c r="G61" s="94"/>
      <c r="H61" s="94"/>
      <c r="I61" s="94"/>
      <c r="J61" s="94"/>
      <c r="K61" s="94">
        <f t="shared" si="21"/>
        <v>3342.4988342543643</v>
      </c>
      <c r="L61" s="94">
        <f t="shared" si="21"/>
        <v>3342.4988342543643</v>
      </c>
      <c r="M61" s="94">
        <f t="shared" si="21"/>
        <v>3342.4988342543643</v>
      </c>
      <c r="N61" s="94">
        <f t="shared" si="21"/>
        <v>3342.4988342543643</v>
      </c>
      <c r="O61" s="94">
        <f t="shared" si="21"/>
        <v>3342.4988342543643</v>
      </c>
      <c r="P61" s="94">
        <f t="shared" si="21"/>
        <v>3342.4988342543643</v>
      </c>
      <c r="Q61" s="94">
        <f t="shared" si="21"/>
        <v>3342.4988342543643</v>
      </c>
      <c r="R61" s="94">
        <f t="shared" si="21"/>
        <v>3342.4988342543643</v>
      </c>
      <c r="S61" s="94">
        <f t="shared" si="21"/>
        <v>3342.4988342543643</v>
      </c>
      <c r="T61" s="22"/>
      <c r="U61" s="22"/>
      <c r="V61" s="22"/>
      <c r="W61" s="22"/>
      <c r="X61" s="22"/>
      <c r="Y61" s="22"/>
    </row>
    <row r="62" spans="1:144" ht="25.5" x14ac:dyDescent="0.2">
      <c r="C62" s="30" t="s">
        <v>393</v>
      </c>
      <c r="D62" s="94">
        <f>SUMIFS('Перечень инв.проектов ВС'!$Q$3:$Q$223,'Перечень инв.проектов ВС'!$Z$3:$Z$223,"сети",'Перечень инв.проектов ВС'!$B$3:$B$223,C$52)</f>
        <v>104390.35398271889</v>
      </c>
      <c r="E62" s="51">
        <v>30</v>
      </c>
      <c r="F62" s="82">
        <f t="shared" si="22"/>
        <v>3.33</v>
      </c>
      <c r="G62" s="94"/>
      <c r="H62" s="94"/>
      <c r="I62" s="94"/>
      <c r="J62" s="94"/>
      <c r="K62" s="94"/>
      <c r="L62" s="94">
        <f t="shared" si="21"/>
        <v>3476.1987876245389</v>
      </c>
      <c r="M62" s="94">
        <f t="shared" si="21"/>
        <v>3476.1987876245389</v>
      </c>
      <c r="N62" s="94">
        <f t="shared" si="21"/>
        <v>3476.1987876245389</v>
      </c>
      <c r="O62" s="94">
        <f t="shared" si="21"/>
        <v>3476.1987876245389</v>
      </c>
      <c r="P62" s="94">
        <f t="shared" si="21"/>
        <v>3476.1987876245389</v>
      </c>
      <c r="Q62" s="94">
        <f t="shared" si="21"/>
        <v>3476.1987876245389</v>
      </c>
      <c r="R62" s="94">
        <f t="shared" si="21"/>
        <v>3476.1987876245389</v>
      </c>
      <c r="S62" s="94">
        <f t="shared" si="21"/>
        <v>3476.1987876245389</v>
      </c>
      <c r="T62" s="22"/>
      <c r="U62" s="22"/>
      <c r="V62" s="22"/>
      <c r="W62" s="22"/>
      <c r="X62" s="22"/>
      <c r="Y62" s="22"/>
    </row>
    <row r="63" spans="1:144" ht="25.5" x14ac:dyDescent="0.2">
      <c r="C63" s="30" t="s">
        <v>394</v>
      </c>
      <c r="D63" s="94">
        <f>SUMIFS('Перечень инв.проектов ВС'!$R$3:$R$223,'Перечень инв.проектов ВС'!$Z$3:$Z$223,"сети",'Перечень инв.проектов ВС'!$B$3:$B$223,C$52)</f>
        <v>108565.96814202765</v>
      </c>
      <c r="E63" s="51">
        <v>30</v>
      </c>
      <c r="F63" s="82">
        <f t="shared" si="22"/>
        <v>3.33</v>
      </c>
      <c r="G63" s="94"/>
      <c r="H63" s="94"/>
      <c r="I63" s="94"/>
      <c r="J63" s="94"/>
      <c r="K63" s="94"/>
      <c r="L63" s="94"/>
      <c r="M63" s="94">
        <f t="shared" si="21"/>
        <v>3615.2467391295208</v>
      </c>
      <c r="N63" s="94">
        <f t="shared" si="21"/>
        <v>3615.2467391295208</v>
      </c>
      <c r="O63" s="94">
        <f t="shared" si="21"/>
        <v>3615.2467391295208</v>
      </c>
      <c r="P63" s="94">
        <f t="shared" si="21"/>
        <v>3615.2467391295208</v>
      </c>
      <c r="Q63" s="94">
        <f t="shared" si="21"/>
        <v>3615.2467391295208</v>
      </c>
      <c r="R63" s="94">
        <f t="shared" si="21"/>
        <v>3615.2467391295208</v>
      </c>
      <c r="S63" s="94">
        <f t="shared" si="21"/>
        <v>3615.2467391295208</v>
      </c>
      <c r="T63" s="22"/>
      <c r="U63" s="22"/>
      <c r="V63" s="22"/>
      <c r="W63" s="22"/>
      <c r="X63" s="22"/>
      <c r="Y63" s="22"/>
    </row>
    <row r="64" spans="1:144" ht="25.5" x14ac:dyDescent="0.2">
      <c r="C64" s="30" t="s">
        <v>395</v>
      </c>
      <c r="D64" s="94">
        <f>SUMIFS('Перечень инв.проектов ВС'!$S$3:$S$223,'Перечень инв.проектов ВС'!$Z$3:$Z$223,"сети",'Перечень инв.проектов ВС'!$B$3:$B$223,C$52)</f>
        <v>112908.60686770876</v>
      </c>
      <c r="E64" s="51">
        <v>30</v>
      </c>
      <c r="F64" s="82">
        <f t="shared" si="22"/>
        <v>3.33</v>
      </c>
      <c r="G64" s="94"/>
      <c r="H64" s="94"/>
      <c r="I64" s="94"/>
      <c r="J64" s="94"/>
      <c r="K64" s="94"/>
      <c r="L64" s="94"/>
      <c r="M64" s="94"/>
      <c r="N64" s="94">
        <f t="shared" si="21"/>
        <v>3759.8566086947017</v>
      </c>
      <c r="O64" s="94">
        <f t="shared" si="21"/>
        <v>3759.8566086947017</v>
      </c>
      <c r="P64" s="94">
        <f t="shared" si="21"/>
        <v>3759.8566086947017</v>
      </c>
      <c r="Q64" s="94">
        <f t="shared" si="21"/>
        <v>3759.8566086947017</v>
      </c>
      <c r="R64" s="94">
        <f t="shared" si="21"/>
        <v>3759.8566086947017</v>
      </c>
      <c r="S64" s="94">
        <f t="shared" si="21"/>
        <v>3759.8566086947017</v>
      </c>
      <c r="T64" s="22"/>
      <c r="U64" s="22"/>
      <c r="V64" s="22"/>
      <c r="W64" s="22"/>
      <c r="X64" s="22"/>
      <c r="Y64" s="22"/>
    </row>
    <row r="65" spans="3:25" ht="25.5" x14ac:dyDescent="0.2">
      <c r="C65" s="30" t="s">
        <v>396</v>
      </c>
      <c r="D65" s="94">
        <f>SUMIFS('Перечень инв.проектов ВС'!$T$3:$T$223,'Перечень инв.проектов ВС'!$Z$3:$Z$223,"сети",'Перечень инв.проектов ВС'!$B$3:$B$223,C$52)</f>
        <v>60201.502011361437</v>
      </c>
      <c r="E65" s="51">
        <v>30</v>
      </c>
      <c r="F65" s="82">
        <f t="shared" si="22"/>
        <v>3.33</v>
      </c>
      <c r="G65" s="94"/>
      <c r="H65" s="94"/>
      <c r="I65" s="94"/>
      <c r="J65" s="94"/>
      <c r="K65" s="94"/>
      <c r="L65" s="94"/>
      <c r="M65" s="94"/>
      <c r="N65" s="94"/>
      <c r="O65" s="94">
        <f t="shared" si="21"/>
        <v>2004.7100169783359</v>
      </c>
      <c r="P65" s="94">
        <f t="shared" si="21"/>
        <v>2004.7100169783359</v>
      </c>
      <c r="Q65" s="94">
        <f t="shared" si="21"/>
        <v>2004.7100169783359</v>
      </c>
      <c r="R65" s="94">
        <f t="shared" si="21"/>
        <v>2004.7100169783359</v>
      </c>
      <c r="S65" s="94">
        <f t="shared" si="21"/>
        <v>2004.7100169783359</v>
      </c>
      <c r="T65" s="22"/>
      <c r="U65" s="22"/>
      <c r="V65" s="22"/>
      <c r="W65" s="22"/>
      <c r="X65" s="22"/>
      <c r="Y65" s="22"/>
    </row>
    <row r="66" spans="3:25" ht="25.5" x14ac:dyDescent="0.2">
      <c r="C66" s="30" t="s">
        <v>397</v>
      </c>
      <c r="D66" s="94">
        <f>SUMIFS('Перечень инв.проектов ВС'!$U$3:$U$223,'Перечень инв.проектов ВС'!$Z$3:$Z$223,"сети",'Перечень инв.проектов ВС'!$B$3:$B$223,C$52)</f>
        <v>62609.562091815897</v>
      </c>
      <c r="E66" s="51">
        <v>30</v>
      </c>
      <c r="F66" s="82">
        <f t="shared" si="22"/>
        <v>3.33</v>
      </c>
      <c r="G66" s="94"/>
      <c r="H66" s="94"/>
      <c r="I66" s="94"/>
      <c r="J66" s="94"/>
      <c r="K66" s="94"/>
      <c r="L66" s="94"/>
      <c r="M66" s="94"/>
      <c r="N66" s="94"/>
      <c r="O66" s="94"/>
      <c r="P66" s="94">
        <f t="shared" si="21"/>
        <v>2084.8984176574695</v>
      </c>
      <c r="Q66" s="94">
        <f t="shared" si="21"/>
        <v>2084.8984176574695</v>
      </c>
      <c r="R66" s="94">
        <f t="shared" si="21"/>
        <v>2084.8984176574695</v>
      </c>
      <c r="S66" s="94">
        <f t="shared" si="21"/>
        <v>2084.8984176574695</v>
      </c>
      <c r="T66" s="22"/>
      <c r="U66" s="22"/>
      <c r="V66" s="22"/>
      <c r="W66" s="22"/>
      <c r="X66" s="22"/>
      <c r="Y66" s="22"/>
    </row>
    <row r="67" spans="3:25" ht="25.5" x14ac:dyDescent="0.2">
      <c r="C67" s="30" t="s">
        <v>398</v>
      </c>
      <c r="D67" s="94">
        <f>SUMIFS('Перечень инв.проектов ВС'!$V$3:$V$223,'Перечень инв.проектов ВС'!$Z$3:$Z$223,"сети",'Перечень инв.проектов ВС'!$B$3:$B$223,C$52)</f>
        <v>65113.944575488531</v>
      </c>
      <c r="E67" s="51">
        <v>30</v>
      </c>
      <c r="F67" s="82">
        <f t="shared" si="22"/>
        <v>3.33</v>
      </c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>
        <f t="shared" si="21"/>
        <v>2168.294354363768</v>
      </c>
      <c r="R67" s="94">
        <f t="shared" si="21"/>
        <v>2168.294354363768</v>
      </c>
      <c r="S67" s="94">
        <f t="shared" si="21"/>
        <v>2168.294354363768</v>
      </c>
      <c r="T67" s="22"/>
      <c r="U67" s="22"/>
      <c r="V67" s="22"/>
      <c r="W67" s="22"/>
      <c r="X67" s="22"/>
      <c r="Y67" s="22"/>
    </row>
    <row r="68" spans="3:25" ht="25.5" x14ac:dyDescent="0.2">
      <c r="C68" s="30" t="s">
        <v>399</v>
      </c>
      <c r="D68" s="94">
        <f>SUMIFS('Перечень инв.проектов ВС'!$W$3:$W$223,'Перечень инв.проектов ВС'!$Z$3:$Z$223,"сети",'Перечень инв.проектов ВС'!$B$3:$B$223,C$52)</f>
        <v>67718.502358508078</v>
      </c>
      <c r="E68" s="51">
        <v>30</v>
      </c>
      <c r="F68" s="82">
        <f t="shared" si="22"/>
        <v>3.33</v>
      </c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>
        <f t="shared" si="21"/>
        <v>2255.026128538319</v>
      </c>
      <c r="S68" s="94">
        <f t="shared" si="21"/>
        <v>2255.026128538319</v>
      </c>
      <c r="T68" s="22"/>
      <c r="U68" s="22"/>
      <c r="V68" s="22"/>
      <c r="W68" s="22"/>
      <c r="X68" s="22"/>
      <c r="Y68" s="22"/>
    </row>
    <row r="69" spans="3:25" ht="25.5" x14ac:dyDescent="0.2">
      <c r="C69" s="30" t="s">
        <v>400</v>
      </c>
      <c r="D69" s="94">
        <f>SUMIFS('Перечень инв.проектов ВС'!$X$3:$X$223,'Перечень инв.проектов ВС'!$Z$3:$Z$223,"сети",'Перечень инв.проектов ВС'!$B$3:$B$223,C$52)</f>
        <v>70427.242452848397</v>
      </c>
      <c r="E69" s="51">
        <v>30</v>
      </c>
      <c r="F69" s="82">
        <f t="shared" si="22"/>
        <v>3.33</v>
      </c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>
        <f t="shared" si="21"/>
        <v>2345.2271736798516</v>
      </c>
      <c r="T69" s="22"/>
      <c r="U69" s="22"/>
      <c r="V69" s="22"/>
      <c r="W69" s="22"/>
      <c r="X69" s="22"/>
      <c r="Y69" s="22"/>
    </row>
    <row r="70" spans="3:25" x14ac:dyDescent="0.2">
      <c r="C70" s="413" t="s">
        <v>278</v>
      </c>
      <c r="D70" s="413"/>
      <c r="E70" s="413"/>
      <c r="F70" s="413"/>
      <c r="G70" s="84">
        <f>SUM(G57:G69)</f>
        <v>1588.7763</v>
      </c>
      <c r="H70" s="84">
        <f t="shared" ref="H70:S70" si="23">SUM(H57:H69)</f>
        <v>4566.0686103978032</v>
      </c>
      <c r="I70" s="84">
        <f t="shared" si="23"/>
        <v>15381.996674612266</v>
      </c>
      <c r="J70" s="84">
        <f t="shared" si="23"/>
        <v>18633.678918281352</v>
      </c>
      <c r="K70" s="84">
        <f t="shared" si="23"/>
        <v>21976.177752535717</v>
      </c>
      <c r="L70" s="84">
        <f t="shared" si="23"/>
        <v>25452.376540160258</v>
      </c>
      <c r="M70" s="84">
        <f t="shared" si="23"/>
        <v>29067.623279289779</v>
      </c>
      <c r="N70" s="84">
        <f t="shared" si="23"/>
        <v>32827.479887984482</v>
      </c>
      <c r="O70" s="84">
        <f t="shared" si="23"/>
        <v>34832.189904962819</v>
      </c>
      <c r="P70" s="84">
        <f t="shared" si="23"/>
        <v>36917.088322620286</v>
      </c>
      <c r="Q70" s="84">
        <f t="shared" si="23"/>
        <v>39085.382676984053</v>
      </c>
      <c r="R70" s="84">
        <f t="shared" si="23"/>
        <v>41340.408805522369</v>
      </c>
      <c r="S70" s="84">
        <f t="shared" si="23"/>
        <v>43685.635979202219</v>
      </c>
      <c r="T70" s="22"/>
      <c r="U70" s="22"/>
      <c r="V70" s="22"/>
      <c r="W70" s="22"/>
      <c r="X70" s="22"/>
      <c r="Y70" s="22"/>
    </row>
    <row r="71" spans="3:25" ht="12.75" customHeight="1" x14ac:dyDescent="0.2">
      <c r="C71" s="408" t="s">
        <v>283</v>
      </c>
      <c r="D71" s="409"/>
      <c r="E71" s="409"/>
      <c r="F71" s="409"/>
      <c r="G71" s="409"/>
      <c r="H71" s="409"/>
      <c r="I71" s="409"/>
      <c r="J71" s="409"/>
      <c r="K71" s="409"/>
      <c r="L71" s="409"/>
      <c r="M71" s="409"/>
      <c r="N71" s="409"/>
      <c r="O71" s="409"/>
      <c r="P71" s="409"/>
      <c r="Q71" s="409"/>
      <c r="R71" s="409"/>
      <c r="S71" s="410"/>
      <c r="T71" s="22"/>
      <c r="U71" s="22"/>
      <c r="V71" s="22"/>
      <c r="W71" s="22"/>
      <c r="X71" s="22"/>
      <c r="Y71" s="22"/>
    </row>
    <row r="72" spans="3:25" ht="25.5" hidden="1" x14ac:dyDescent="0.2">
      <c r="C72" s="30" t="s">
        <v>274</v>
      </c>
      <c r="D72" s="94" t="e">
        <f>SUMIFS('Перечень инв.проектов ВС'!#REF!,'Перечень инв.проектов ВС'!$Z$3:$Z$223,"объект",'Перечень инв.проектов ВС'!$B$3:$B$223,C$52)</f>
        <v>#REF!</v>
      </c>
      <c r="E72" s="51">
        <v>15</v>
      </c>
      <c r="F72" s="82">
        <f>ROUND(100/E72,2)</f>
        <v>6.67</v>
      </c>
      <c r="G72" s="94" t="e">
        <f>$D72*$F72/100</f>
        <v>#REF!</v>
      </c>
      <c r="H72" s="94" t="e">
        <f t="shared" ref="H72:W85" si="24">$D72*$F72/100</f>
        <v>#REF!</v>
      </c>
      <c r="I72" s="94" t="e">
        <f t="shared" si="24"/>
        <v>#REF!</v>
      </c>
      <c r="J72" s="94" t="e">
        <f t="shared" si="24"/>
        <v>#REF!</v>
      </c>
      <c r="K72" s="94" t="e">
        <f t="shared" si="24"/>
        <v>#REF!</v>
      </c>
      <c r="L72" s="94" t="e">
        <f t="shared" si="24"/>
        <v>#REF!</v>
      </c>
      <c r="M72" s="94" t="e">
        <f t="shared" si="24"/>
        <v>#REF!</v>
      </c>
      <c r="N72" s="94" t="e">
        <f t="shared" si="24"/>
        <v>#REF!</v>
      </c>
      <c r="O72" s="94" t="e">
        <f t="shared" si="24"/>
        <v>#REF!</v>
      </c>
      <c r="P72" s="94" t="e">
        <f t="shared" si="24"/>
        <v>#REF!</v>
      </c>
      <c r="Q72" s="94" t="e">
        <f t="shared" si="24"/>
        <v>#REF!</v>
      </c>
      <c r="R72" s="94" t="e">
        <f t="shared" si="24"/>
        <v>#REF!</v>
      </c>
      <c r="S72" s="94" t="e">
        <f t="shared" si="24"/>
        <v>#REF!</v>
      </c>
      <c r="T72" s="22" t="e">
        <f t="shared" si="24"/>
        <v>#REF!</v>
      </c>
      <c r="U72" s="22" t="e">
        <f t="shared" si="24"/>
        <v>#REF!</v>
      </c>
      <c r="V72" s="22" t="e">
        <f t="shared" si="24"/>
        <v>#REF!</v>
      </c>
      <c r="W72" s="22" t="e">
        <f t="shared" si="24"/>
        <v>#REF!</v>
      </c>
      <c r="X72" s="22" t="e">
        <f t="shared" ref="X72" si="25">$D72*$F72/100</f>
        <v>#REF!</v>
      </c>
      <c r="Y72" s="22"/>
    </row>
    <row r="73" spans="3:25" ht="25.5" x14ac:dyDescent="0.2">
      <c r="C73" s="30" t="s">
        <v>275</v>
      </c>
      <c r="D73" s="94">
        <f>SUMIFS('Перечень инв.проектов ВС'!$L$3:$L$223,'Перечень инв.проектов ВС'!$Z$3:$Z$223,"объект",'Перечень инв.проектов ВС'!$B$3:$B$223,C$52)</f>
        <v>0</v>
      </c>
      <c r="E73" s="51">
        <v>15</v>
      </c>
      <c r="F73" s="82">
        <f>ROUND(100/E73,2)</f>
        <v>6.67</v>
      </c>
      <c r="G73" s="94">
        <f>$D73*$F73/100</f>
        <v>0</v>
      </c>
      <c r="H73" s="94">
        <f t="shared" si="24"/>
        <v>0</v>
      </c>
      <c r="I73" s="94">
        <f t="shared" si="24"/>
        <v>0</v>
      </c>
      <c r="J73" s="94">
        <f t="shared" si="24"/>
        <v>0</v>
      </c>
      <c r="K73" s="94">
        <f t="shared" si="24"/>
        <v>0</v>
      </c>
      <c r="L73" s="94">
        <f t="shared" si="24"/>
        <v>0</v>
      </c>
      <c r="M73" s="94">
        <f t="shared" si="24"/>
        <v>0</v>
      </c>
      <c r="N73" s="94">
        <f t="shared" si="24"/>
        <v>0</v>
      </c>
      <c r="O73" s="94">
        <f t="shared" si="24"/>
        <v>0</v>
      </c>
      <c r="P73" s="94">
        <f t="shared" si="24"/>
        <v>0</v>
      </c>
      <c r="Q73" s="94">
        <f t="shared" si="24"/>
        <v>0</v>
      </c>
      <c r="R73" s="94">
        <f t="shared" si="24"/>
        <v>0</v>
      </c>
      <c r="S73" s="94">
        <f t="shared" si="24"/>
        <v>0</v>
      </c>
      <c r="T73" s="22"/>
      <c r="U73" s="22"/>
      <c r="V73" s="22"/>
      <c r="W73" s="22"/>
      <c r="X73" s="22"/>
      <c r="Y73" s="22"/>
    </row>
    <row r="74" spans="3:25" ht="25.5" x14ac:dyDescent="0.2">
      <c r="C74" s="30" t="s">
        <v>276</v>
      </c>
      <c r="D74" s="94">
        <f>SUMIFS('Перечень инв.проектов ВС'!$M$3:$M$223,'Перечень инв.проектов ВС'!$Z$3:$Z$223,"объект",'Перечень инв.проектов ВС'!$B$3:$B$223,C$52)</f>
        <v>222651.73866536532</v>
      </c>
      <c r="E74" s="51">
        <v>15</v>
      </c>
      <c r="F74" s="82">
        <f>ROUND(100/E74,2)</f>
        <v>6.67</v>
      </c>
      <c r="G74" s="94"/>
      <c r="H74" s="94">
        <f t="shared" si="24"/>
        <v>14850.870968979867</v>
      </c>
      <c r="I74" s="94">
        <f t="shared" si="24"/>
        <v>14850.870968979867</v>
      </c>
      <c r="J74" s="94">
        <f t="shared" si="24"/>
        <v>14850.870968979867</v>
      </c>
      <c r="K74" s="94">
        <f t="shared" si="24"/>
        <v>14850.870968979867</v>
      </c>
      <c r="L74" s="94">
        <f t="shared" si="24"/>
        <v>14850.870968979867</v>
      </c>
      <c r="M74" s="94">
        <f t="shared" si="24"/>
        <v>14850.870968979867</v>
      </c>
      <c r="N74" s="94">
        <f t="shared" si="24"/>
        <v>14850.870968979867</v>
      </c>
      <c r="O74" s="94">
        <f t="shared" si="24"/>
        <v>14850.870968979867</v>
      </c>
      <c r="P74" s="94">
        <f t="shared" si="24"/>
        <v>14850.870968979867</v>
      </c>
      <c r="Q74" s="94">
        <f t="shared" si="24"/>
        <v>14850.870968979867</v>
      </c>
      <c r="R74" s="94">
        <f t="shared" si="24"/>
        <v>14850.870968979867</v>
      </c>
      <c r="S74" s="94">
        <f t="shared" si="24"/>
        <v>14850.870968979867</v>
      </c>
      <c r="T74" s="22"/>
      <c r="U74" s="22"/>
      <c r="V74" s="22"/>
      <c r="W74" s="22"/>
      <c r="X74" s="22"/>
      <c r="Y74" s="22"/>
    </row>
    <row r="75" spans="3:25" ht="25.5" x14ac:dyDescent="0.2">
      <c r="C75" s="30" t="s">
        <v>277</v>
      </c>
      <c r="D75" s="94">
        <f>SUMIFS('Перечень инв.проектов ВС'!$N$3:$N$223,'Перечень инв.проектов ВС'!$Z$3:$Z$223,"объект",'Перечень инв.проектов ВС'!$B$3:$B$223,C$52)</f>
        <v>23822.040114791125</v>
      </c>
      <c r="E75" s="51">
        <v>15</v>
      </c>
      <c r="F75" s="82">
        <f>ROUND(100/E75,2)</f>
        <v>6.67</v>
      </c>
      <c r="G75" s="94"/>
      <c r="H75" s="94"/>
      <c r="I75" s="94">
        <f t="shared" si="24"/>
        <v>1588.9300756565679</v>
      </c>
      <c r="J75" s="94">
        <f t="shared" si="24"/>
        <v>1588.9300756565679</v>
      </c>
      <c r="K75" s="94">
        <f t="shared" si="24"/>
        <v>1588.9300756565679</v>
      </c>
      <c r="L75" s="94">
        <f t="shared" si="24"/>
        <v>1588.9300756565679</v>
      </c>
      <c r="M75" s="94">
        <f t="shared" si="24"/>
        <v>1588.9300756565679</v>
      </c>
      <c r="N75" s="94">
        <f t="shared" si="24"/>
        <v>1588.9300756565679</v>
      </c>
      <c r="O75" s="94">
        <f t="shared" si="24"/>
        <v>1588.9300756565679</v>
      </c>
      <c r="P75" s="94">
        <f t="shared" si="24"/>
        <v>1588.9300756565679</v>
      </c>
      <c r="Q75" s="94">
        <f t="shared" si="24"/>
        <v>1588.9300756565679</v>
      </c>
      <c r="R75" s="94">
        <f t="shared" si="24"/>
        <v>1588.9300756565679</v>
      </c>
      <c r="S75" s="94">
        <f t="shared" si="24"/>
        <v>1588.9300756565679</v>
      </c>
      <c r="T75" s="22"/>
      <c r="U75" s="22"/>
      <c r="V75" s="22"/>
      <c r="W75" s="22"/>
      <c r="X75" s="22"/>
      <c r="Y75" s="22"/>
    </row>
    <row r="76" spans="3:25" ht="25.5" x14ac:dyDescent="0.2">
      <c r="C76" s="30" t="s">
        <v>391</v>
      </c>
      <c r="D76" s="94">
        <f>SUMIFS('Перечень инв.проектов ВС'!$O$3:$O$223,'Перечень инв.проектов ВС'!$Z$3:$Z$223,"объект",'Перечень инв.проектов ВС'!$B$3:$B$223,C$52)</f>
        <v>207011.83786931098</v>
      </c>
      <c r="E76" s="51">
        <v>15</v>
      </c>
      <c r="F76" s="82">
        <f>ROUND(100/E76,2)</f>
        <v>6.67</v>
      </c>
      <c r="G76" s="94"/>
      <c r="H76" s="94"/>
      <c r="I76" s="94"/>
      <c r="J76" s="94">
        <f>$D76*$F76/100</f>
        <v>13807.689585883043</v>
      </c>
      <c r="K76" s="94">
        <f t="shared" si="24"/>
        <v>13807.689585883043</v>
      </c>
      <c r="L76" s="94">
        <f t="shared" si="24"/>
        <v>13807.689585883043</v>
      </c>
      <c r="M76" s="94">
        <f t="shared" si="24"/>
        <v>13807.689585883043</v>
      </c>
      <c r="N76" s="94">
        <f t="shared" si="24"/>
        <v>13807.689585883043</v>
      </c>
      <c r="O76" s="94">
        <f t="shared" si="24"/>
        <v>13807.689585883043</v>
      </c>
      <c r="P76" s="94">
        <f t="shared" si="24"/>
        <v>13807.689585883043</v>
      </c>
      <c r="Q76" s="94">
        <f t="shared" si="24"/>
        <v>13807.689585883043</v>
      </c>
      <c r="R76" s="94">
        <f t="shared" si="24"/>
        <v>13807.689585883043</v>
      </c>
      <c r="S76" s="94">
        <f t="shared" si="24"/>
        <v>13807.689585883043</v>
      </c>
      <c r="T76" s="22"/>
      <c r="U76" s="22"/>
      <c r="V76" s="22"/>
      <c r="W76" s="22"/>
      <c r="X76" s="22"/>
      <c r="Y76" s="22"/>
    </row>
    <row r="77" spans="3:25" ht="25.5" x14ac:dyDescent="0.2">
      <c r="C77" s="30" t="s">
        <v>392</v>
      </c>
      <c r="D77" s="94">
        <f>SUMIFS('Перечень инв.проектов ВС'!$P$3:$P$223,'Перечень инв.проектов ВС'!$Z$3:$Z$223,"объект",'Перечень инв.проектов ВС'!$B$3:$B$223,C$52)</f>
        <v>4048.3172804923115</v>
      </c>
      <c r="E77" s="51">
        <v>15</v>
      </c>
      <c r="F77" s="82">
        <f t="shared" ref="F77:F85" si="26">ROUND(100/E77,2)</f>
        <v>6.67</v>
      </c>
      <c r="G77" s="94"/>
      <c r="H77" s="94"/>
      <c r="I77" s="94"/>
      <c r="J77" s="94"/>
      <c r="K77" s="94">
        <f t="shared" si="24"/>
        <v>270.02276260883718</v>
      </c>
      <c r="L77" s="94">
        <f t="shared" si="24"/>
        <v>270.02276260883718</v>
      </c>
      <c r="M77" s="94">
        <f t="shared" si="24"/>
        <v>270.02276260883718</v>
      </c>
      <c r="N77" s="94">
        <f t="shared" si="24"/>
        <v>270.02276260883718</v>
      </c>
      <c r="O77" s="94">
        <f t="shared" si="24"/>
        <v>270.02276260883718</v>
      </c>
      <c r="P77" s="94">
        <f t="shared" si="24"/>
        <v>270.02276260883718</v>
      </c>
      <c r="Q77" s="94">
        <f t="shared" si="24"/>
        <v>270.02276260883718</v>
      </c>
      <c r="R77" s="94">
        <f t="shared" si="24"/>
        <v>270.02276260883718</v>
      </c>
      <c r="S77" s="94">
        <f t="shared" si="24"/>
        <v>270.02276260883718</v>
      </c>
      <c r="T77" s="22"/>
      <c r="U77" s="22"/>
      <c r="V77" s="22"/>
      <c r="W77" s="22"/>
      <c r="X77" s="22"/>
      <c r="Y77" s="22"/>
    </row>
    <row r="78" spans="3:25" ht="25.5" x14ac:dyDescent="0.2">
      <c r="C78" s="30" t="s">
        <v>393</v>
      </c>
      <c r="D78" s="94">
        <f>SUMIFS('Перечень инв.проектов ВС'!$Q$3:$Q$223,'Перечень инв.проектов ВС'!$Z$3:$Z$223,"объект",'Перечень инв.проектов ВС'!$B$3:$B$223,C$52)</f>
        <v>3054.4388655860148</v>
      </c>
      <c r="E78" s="51">
        <v>15</v>
      </c>
      <c r="F78" s="82">
        <f t="shared" si="26"/>
        <v>6.67</v>
      </c>
      <c r="G78" s="94"/>
      <c r="H78" s="94"/>
      <c r="I78" s="94"/>
      <c r="J78" s="94"/>
      <c r="K78" s="94"/>
      <c r="L78" s="94">
        <f t="shared" si="24"/>
        <v>203.7310723345872</v>
      </c>
      <c r="M78" s="94">
        <f t="shared" si="24"/>
        <v>203.7310723345872</v>
      </c>
      <c r="N78" s="94">
        <f t="shared" si="24"/>
        <v>203.7310723345872</v>
      </c>
      <c r="O78" s="94">
        <f t="shared" si="24"/>
        <v>203.7310723345872</v>
      </c>
      <c r="P78" s="94">
        <f t="shared" si="24"/>
        <v>203.7310723345872</v>
      </c>
      <c r="Q78" s="94">
        <f t="shared" si="24"/>
        <v>203.7310723345872</v>
      </c>
      <c r="R78" s="94">
        <f t="shared" si="24"/>
        <v>203.7310723345872</v>
      </c>
      <c r="S78" s="94">
        <f t="shared" si="24"/>
        <v>203.7310723345872</v>
      </c>
      <c r="T78" s="22"/>
      <c r="U78" s="22"/>
      <c r="V78" s="22"/>
      <c r="W78" s="22"/>
      <c r="X78" s="22"/>
      <c r="Y78" s="22"/>
    </row>
    <row r="79" spans="3:25" ht="25.5" x14ac:dyDescent="0.2">
      <c r="C79" s="30" t="s">
        <v>394</v>
      </c>
      <c r="D79" s="94">
        <f>SUMIFS('Перечень инв.проектов ВС'!$R$3:$R$223,'Перечень инв.проектов ВС'!$Z$3:$Z$223,"объект",'Перечень инв.проектов ВС'!$B$3:$B$223,C$52)</f>
        <v>3176.6164202094556</v>
      </c>
      <c r="E79" s="51">
        <v>15</v>
      </c>
      <c r="F79" s="82">
        <f t="shared" si="26"/>
        <v>6.67</v>
      </c>
      <c r="G79" s="94"/>
      <c r="H79" s="94"/>
      <c r="I79" s="94"/>
      <c r="J79" s="94"/>
      <c r="K79" s="94"/>
      <c r="L79" s="94"/>
      <c r="M79" s="94">
        <f t="shared" si="24"/>
        <v>211.88031522797067</v>
      </c>
      <c r="N79" s="94">
        <f t="shared" si="24"/>
        <v>211.88031522797067</v>
      </c>
      <c r="O79" s="94">
        <f t="shared" si="24"/>
        <v>211.88031522797067</v>
      </c>
      <c r="P79" s="94">
        <f t="shared" si="24"/>
        <v>211.88031522797067</v>
      </c>
      <c r="Q79" s="94">
        <f t="shared" si="24"/>
        <v>211.88031522797067</v>
      </c>
      <c r="R79" s="94">
        <f t="shared" si="24"/>
        <v>211.88031522797067</v>
      </c>
      <c r="S79" s="94">
        <f t="shared" si="24"/>
        <v>211.88031522797067</v>
      </c>
      <c r="T79" s="22"/>
      <c r="U79" s="22"/>
      <c r="V79" s="22"/>
      <c r="W79" s="22"/>
      <c r="X79" s="22"/>
      <c r="Y79" s="22"/>
    </row>
    <row r="80" spans="3:25" ht="25.5" x14ac:dyDescent="0.2">
      <c r="C80" s="30" t="s">
        <v>395</v>
      </c>
      <c r="D80" s="94">
        <f>SUMIFS('Перечень инв.проектов ВС'!$S$3:$S$223,'Перечень инв.проектов ВС'!$Z$3:$Z$223,"объект",'Перечень инв.проектов ВС'!$B$3:$B$223,C$52)</f>
        <v>3303.681077017834</v>
      </c>
      <c r="E80" s="51">
        <v>15</v>
      </c>
      <c r="F80" s="82">
        <f t="shared" si="26"/>
        <v>6.67</v>
      </c>
      <c r="G80" s="94"/>
      <c r="H80" s="94"/>
      <c r="I80" s="94"/>
      <c r="J80" s="94"/>
      <c r="K80" s="94"/>
      <c r="L80" s="94"/>
      <c r="M80" s="94"/>
      <c r="N80" s="94">
        <f t="shared" si="24"/>
        <v>220.35552783708954</v>
      </c>
      <c r="O80" s="94">
        <f t="shared" si="24"/>
        <v>220.35552783708954</v>
      </c>
      <c r="P80" s="94">
        <f t="shared" si="24"/>
        <v>220.35552783708954</v>
      </c>
      <c r="Q80" s="94">
        <f t="shared" si="24"/>
        <v>220.35552783708954</v>
      </c>
      <c r="R80" s="94">
        <f t="shared" si="24"/>
        <v>220.35552783708954</v>
      </c>
      <c r="S80" s="94">
        <f t="shared" si="24"/>
        <v>220.35552783708954</v>
      </c>
      <c r="T80" s="22"/>
      <c r="U80" s="22"/>
      <c r="V80" s="22"/>
      <c r="W80" s="22"/>
      <c r="X80" s="22"/>
      <c r="Y80" s="22"/>
    </row>
    <row r="81" spans="1:125" ht="25.5" x14ac:dyDescent="0.2">
      <c r="C81" s="30" t="s">
        <v>396</v>
      </c>
      <c r="D81" s="94">
        <f>SUMIFS('Перечень инв.проектов ВС'!$T$3:$T$223,'Перечень инв.проектов ВС'!$Z$3:$Z$223,"объект",'Перечень инв.проектов ВС'!$B$3:$B$223,C$52)</f>
        <v>3435.8283200985475</v>
      </c>
      <c r="E81" s="51">
        <v>15</v>
      </c>
      <c r="F81" s="82">
        <f t="shared" si="26"/>
        <v>6.67</v>
      </c>
      <c r="G81" s="94"/>
      <c r="H81" s="94"/>
      <c r="I81" s="94"/>
      <c r="J81" s="94"/>
      <c r="K81" s="94"/>
      <c r="L81" s="94"/>
      <c r="M81" s="94"/>
      <c r="N81" s="94"/>
      <c r="O81" s="94">
        <f t="shared" si="24"/>
        <v>229.16974895057311</v>
      </c>
      <c r="P81" s="94">
        <f t="shared" si="24"/>
        <v>229.16974895057311</v>
      </c>
      <c r="Q81" s="94">
        <f t="shared" si="24"/>
        <v>229.16974895057311</v>
      </c>
      <c r="R81" s="94">
        <f t="shared" si="24"/>
        <v>229.16974895057311</v>
      </c>
      <c r="S81" s="94">
        <f t="shared" si="24"/>
        <v>229.16974895057311</v>
      </c>
      <c r="T81" s="22"/>
      <c r="U81" s="22"/>
      <c r="V81" s="22"/>
      <c r="W81" s="22"/>
      <c r="X81" s="22"/>
      <c r="Y81" s="22"/>
    </row>
    <row r="82" spans="1:125" ht="25.5" x14ac:dyDescent="0.2">
      <c r="C82" s="30" t="s">
        <v>397</v>
      </c>
      <c r="D82" s="94">
        <f>SUMIFS('Перечень инв.проектов ВС'!$U$3:$U$223,'Перечень инв.проектов ВС'!$Z$3:$Z$223,"объект",'Перечень инв.проектов ВС'!$B$3:$B$223,C$52)</f>
        <v>0</v>
      </c>
      <c r="E82" s="51">
        <v>15</v>
      </c>
      <c r="F82" s="82">
        <f t="shared" si="26"/>
        <v>6.67</v>
      </c>
      <c r="G82" s="94"/>
      <c r="H82" s="94"/>
      <c r="I82" s="94"/>
      <c r="J82" s="94"/>
      <c r="K82" s="94"/>
      <c r="L82" s="94"/>
      <c r="M82" s="94"/>
      <c r="N82" s="94"/>
      <c r="O82" s="94"/>
      <c r="P82" s="94">
        <f t="shared" si="24"/>
        <v>0</v>
      </c>
      <c r="Q82" s="94">
        <f t="shared" si="24"/>
        <v>0</v>
      </c>
      <c r="R82" s="94">
        <f t="shared" si="24"/>
        <v>0</v>
      </c>
      <c r="S82" s="94">
        <f t="shared" si="24"/>
        <v>0</v>
      </c>
      <c r="T82" s="22"/>
      <c r="U82" s="22"/>
      <c r="V82" s="22"/>
      <c r="W82" s="22"/>
      <c r="X82" s="22"/>
      <c r="Y82" s="22"/>
    </row>
    <row r="83" spans="1:125" ht="25.5" x14ac:dyDescent="0.2">
      <c r="C83" s="30" t="s">
        <v>398</v>
      </c>
      <c r="D83" s="94">
        <f>SUMIFS('Перечень инв.проектов ВС'!$V$3:$V$223,'Перечень инв.проектов ВС'!$Z$3:$Z$223,"объект",'Перечень инв.проектов ВС'!$B$3:$B$223,C$52)</f>
        <v>0</v>
      </c>
      <c r="E83" s="51">
        <v>15</v>
      </c>
      <c r="F83" s="82">
        <f t="shared" si="26"/>
        <v>6.67</v>
      </c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>
        <f t="shared" si="24"/>
        <v>0</v>
      </c>
      <c r="R83" s="94">
        <f t="shared" si="24"/>
        <v>0</v>
      </c>
      <c r="S83" s="94">
        <f t="shared" si="24"/>
        <v>0</v>
      </c>
      <c r="T83" s="22"/>
      <c r="U83" s="22"/>
      <c r="V83" s="22"/>
      <c r="W83" s="22"/>
      <c r="X83" s="22"/>
      <c r="Y83" s="22"/>
    </row>
    <row r="84" spans="1:125" ht="25.5" x14ac:dyDescent="0.2">
      <c r="C84" s="30" t="s">
        <v>399</v>
      </c>
      <c r="D84" s="94">
        <f>SUMIFS('Перечень инв.проектов ВС'!$W$3:$W$223,'Перечень инв.проектов ВС'!$Z$3:$Z$223,"объект",'Перечень инв.проектов ВС'!$B$3:$B$223,C$52)</f>
        <v>0</v>
      </c>
      <c r="E84" s="51">
        <v>15</v>
      </c>
      <c r="F84" s="82">
        <f t="shared" si="26"/>
        <v>6.67</v>
      </c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>
        <f t="shared" si="24"/>
        <v>0</v>
      </c>
      <c r="S84" s="94">
        <f t="shared" si="24"/>
        <v>0</v>
      </c>
      <c r="T84" s="22"/>
      <c r="U84" s="22"/>
      <c r="V84" s="22"/>
      <c r="W84" s="22"/>
      <c r="X84" s="22"/>
      <c r="Y84" s="22"/>
    </row>
    <row r="85" spans="1:125" ht="25.5" x14ac:dyDescent="0.2">
      <c r="C85" s="30" t="s">
        <v>400</v>
      </c>
      <c r="D85" s="94">
        <f>SUMIFS('Перечень инв.проектов ВС'!$X$3:$X$223,'Перечень инв.проектов ВС'!$Z$3:$Z$223,"объект",'Перечень инв.проектов ВС'!$B$3:$B$223,C$52)</f>
        <v>0</v>
      </c>
      <c r="E85" s="51">
        <v>15</v>
      </c>
      <c r="F85" s="82">
        <f t="shared" si="26"/>
        <v>6.67</v>
      </c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>
        <f t="shared" si="24"/>
        <v>0</v>
      </c>
      <c r="T85" s="22"/>
      <c r="U85" s="22"/>
      <c r="V85" s="22"/>
      <c r="W85" s="22"/>
      <c r="X85" s="22"/>
      <c r="Y85" s="22"/>
    </row>
    <row r="86" spans="1:125" s="98" customFormat="1" x14ac:dyDescent="0.2">
      <c r="C86" s="407" t="s">
        <v>278</v>
      </c>
      <c r="D86" s="407"/>
      <c r="E86" s="407"/>
      <c r="F86" s="407"/>
      <c r="G86" s="97">
        <f>SUM(G73:G85)</f>
        <v>0</v>
      </c>
      <c r="H86" s="97">
        <f t="shared" ref="H86:S86" si="27">SUM(H73:H85)</f>
        <v>14850.870968979867</v>
      </c>
      <c r="I86" s="97">
        <f t="shared" si="27"/>
        <v>16439.801044636435</v>
      </c>
      <c r="J86" s="97">
        <f t="shared" si="27"/>
        <v>30247.490630519478</v>
      </c>
      <c r="K86" s="97">
        <f t="shared" si="27"/>
        <v>30517.513393128316</v>
      </c>
      <c r="L86" s="97">
        <f t="shared" si="27"/>
        <v>30721.244465462903</v>
      </c>
      <c r="M86" s="97">
        <f t="shared" si="27"/>
        <v>30933.124780690876</v>
      </c>
      <c r="N86" s="97">
        <f t="shared" si="27"/>
        <v>31153.480308527964</v>
      </c>
      <c r="O86" s="97">
        <f t="shared" si="27"/>
        <v>31382.650057478535</v>
      </c>
      <c r="P86" s="97">
        <f t="shared" si="27"/>
        <v>31382.650057478535</v>
      </c>
      <c r="Q86" s="97">
        <f t="shared" si="27"/>
        <v>31382.650057478535</v>
      </c>
      <c r="R86" s="97">
        <f t="shared" si="27"/>
        <v>31382.650057478535</v>
      </c>
      <c r="S86" s="97">
        <f t="shared" si="27"/>
        <v>31382.650057478535</v>
      </c>
      <c r="T86" s="22"/>
      <c r="U86" s="22"/>
      <c r="V86" s="22"/>
      <c r="W86" s="22"/>
      <c r="X86" s="22"/>
      <c r="Y86" s="22"/>
      <c r="Z86" s="22"/>
    </row>
    <row r="87" spans="1:125" s="98" customFormat="1" x14ac:dyDescent="0.2">
      <c r="C87" s="407" t="s">
        <v>151</v>
      </c>
      <c r="D87" s="407"/>
      <c r="E87" s="407"/>
      <c r="F87" s="407"/>
      <c r="G87" s="99">
        <f t="shared" ref="G87:S87" si="28">SUM(G70,G86)</f>
        <v>1588.7763</v>
      </c>
      <c r="H87" s="99">
        <f t="shared" si="28"/>
        <v>19416.939579377671</v>
      </c>
      <c r="I87" s="99">
        <f t="shared" si="28"/>
        <v>31821.797719248701</v>
      </c>
      <c r="J87" s="99">
        <f t="shared" si="28"/>
        <v>48881.169548800826</v>
      </c>
      <c r="K87" s="99">
        <f t="shared" si="28"/>
        <v>52493.691145664037</v>
      </c>
      <c r="L87" s="99">
        <f t="shared" si="28"/>
        <v>56173.621005623165</v>
      </c>
      <c r="M87" s="99">
        <f t="shared" si="28"/>
        <v>60000.748059980659</v>
      </c>
      <c r="N87" s="99">
        <f t="shared" si="28"/>
        <v>63980.960196512446</v>
      </c>
      <c r="O87" s="99">
        <f t="shared" si="28"/>
        <v>66214.839962441358</v>
      </c>
      <c r="P87" s="99">
        <f t="shared" si="28"/>
        <v>68299.738380098817</v>
      </c>
      <c r="Q87" s="99">
        <f t="shared" si="28"/>
        <v>70468.032734462584</v>
      </c>
      <c r="R87" s="99">
        <f t="shared" si="28"/>
        <v>72723.058863000901</v>
      </c>
      <c r="S87" s="99">
        <f t="shared" si="28"/>
        <v>75068.286036680758</v>
      </c>
      <c r="T87" s="22"/>
      <c r="U87" s="22"/>
      <c r="V87" s="22"/>
      <c r="W87" s="22"/>
      <c r="X87" s="22"/>
      <c r="Y87" s="22"/>
      <c r="Z87" s="22"/>
    </row>
    <row r="89" spans="1:125" x14ac:dyDescent="0.2">
      <c r="A89" s="93">
        <f>SUM(D95:D107,D111:D123,D127:D139)-'Программа инв. проектов'!R60</f>
        <v>0</v>
      </c>
      <c r="D89" s="23"/>
    </row>
    <row r="90" spans="1:125" x14ac:dyDescent="0.2">
      <c r="A90" s="26" t="s">
        <v>284</v>
      </c>
      <c r="C90" s="194" t="str">
        <f>Фин.потребности!C22</f>
        <v>МУП "Югорскэнергогаз" ВО</v>
      </c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5"/>
      <c r="DK90" s="195"/>
      <c r="DL90" s="195"/>
      <c r="DM90" s="195"/>
      <c r="DN90" s="195"/>
      <c r="DO90" s="195"/>
      <c r="DP90" s="195"/>
      <c r="DQ90" s="195"/>
      <c r="DR90" s="195"/>
      <c r="DS90" s="195"/>
      <c r="DT90" s="195"/>
      <c r="DU90" s="195"/>
    </row>
    <row r="91" spans="1:125" ht="12.75" customHeight="1" x14ac:dyDescent="0.2">
      <c r="C91" s="411" t="s">
        <v>267</v>
      </c>
      <c r="D91" s="411" t="s">
        <v>268</v>
      </c>
      <c r="E91" s="411" t="s">
        <v>269</v>
      </c>
      <c r="F91" s="411" t="s">
        <v>270</v>
      </c>
      <c r="G91" s="220" t="s">
        <v>271</v>
      </c>
      <c r="H91" s="220"/>
      <c r="I91" s="220"/>
      <c r="J91" s="220"/>
      <c r="K91" s="220"/>
      <c r="L91" s="220"/>
      <c r="M91" s="220"/>
      <c r="N91" s="220"/>
      <c r="O91" s="220"/>
      <c r="P91" s="220"/>
      <c r="Q91" s="220"/>
      <c r="R91" s="220"/>
      <c r="S91" s="221"/>
      <c r="T91" s="195"/>
      <c r="U91" s="195"/>
      <c r="V91" s="195"/>
      <c r="W91" s="195"/>
      <c r="X91" s="195"/>
      <c r="Y91" s="22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5"/>
      <c r="DK91" s="195"/>
      <c r="DL91" s="195"/>
      <c r="DM91" s="195"/>
      <c r="DN91" s="195"/>
      <c r="DO91" s="195"/>
      <c r="DP91" s="195"/>
      <c r="DQ91" s="195"/>
      <c r="DR91" s="195"/>
      <c r="DS91" s="195"/>
      <c r="DT91" s="195"/>
    </row>
    <row r="92" spans="1:125" x14ac:dyDescent="0.2">
      <c r="C92" s="411"/>
      <c r="D92" s="411"/>
      <c r="E92" s="411"/>
      <c r="F92" s="411"/>
      <c r="G92" s="5">
        <v>2023</v>
      </c>
      <c r="H92" s="5">
        <v>2024</v>
      </c>
      <c r="I92" s="5">
        <v>2025</v>
      </c>
      <c r="J92" s="5">
        <v>2026</v>
      </c>
      <c r="K92" s="5">
        <v>2027</v>
      </c>
      <c r="L92" s="5">
        <v>2028</v>
      </c>
      <c r="M92" s="5">
        <v>2029</v>
      </c>
      <c r="N92" s="5">
        <v>2030</v>
      </c>
      <c r="O92" s="5">
        <v>2031</v>
      </c>
      <c r="P92" s="5">
        <v>2032</v>
      </c>
      <c r="Q92" s="5">
        <v>2033</v>
      </c>
      <c r="R92" s="5">
        <v>2034</v>
      </c>
      <c r="S92" s="5">
        <v>2035</v>
      </c>
      <c r="T92" s="195"/>
      <c r="U92" s="195"/>
      <c r="V92" s="195"/>
      <c r="W92" s="195"/>
      <c r="X92" s="195"/>
      <c r="Y92" s="22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  <c r="BB92" s="195"/>
      <c r="BC92" s="195"/>
      <c r="BD92" s="195"/>
      <c r="BE92" s="195"/>
      <c r="BF92" s="195"/>
      <c r="BG92" s="195"/>
      <c r="BH92" s="195"/>
      <c r="BI92" s="195"/>
      <c r="BJ92" s="195"/>
      <c r="BK92" s="195"/>
      <c r="BL92" s="195"/>
      <c r="BM92" s="195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  <c r="BX92" s="195"/>
      <c r="BY92" s="195"/>
      <c r="BZ92" s="195"/>
      <c r="CA92" s="195"/>
      <c r="CB92" s="195"/>
      <c r="CC92" s="195"/>
      <c r="CD92" s="195"/>
      <c r="CE92" s="195"/>
      <c r="CF92" s="195"/>
      <c r="CG92" s="195"/>
      <c r="CH92" s="195"/>
      <c r="CI92" s="195"/>
      <c r="CJ92" s="195"/>
      <c r="CK92" s="195"/>
      <c r="CL92" s="195"/>
      <c r="CM92" s="195"/>
      <c r="CN92" s="195"/>
      <c r="CO92" s="195"/>
      <c r="CP92" s="195"/>
      <c r="CQ92" s="195"/>
      <c r="CR92" s="195"/>
      <c r="CS92" s="195"/>
      <c r="CT92" s="195"/>
      <c r="CU92" s="195"/>
      <c r="CV92" s="195"/>
      <c r="CW92" s="195"/>
      <c r="CX92" s="195"/>
      <c r="CY92" s="195"/>
      <c r="CZ92" s="195"/>
      <c r="DA92" s="195"/>
      <c r="DB92" s="195"/>
      <c r="DC92" s="195"/>
      <c r="DD92" s="195"/>
      <c r="DE92" s="195"/>
      <c r="DF92" s="195"/>
      <c r="DG92" s="195"/>
      <c r="DH92" s="195"/>
      <c r="DI92" s="195"/>
      <c r="DJ92" s="195"/>
      <c r="DK92" s="195"/>
      <c r="DL92" s="195"/>
      <c r="DM92" s="195"/>
      <c r="DN92" s="195"/>
      <c r="DO92" s="195"/>
      <c r="DP92" s="195"/>
      <c r="DQ92" s="195"/>
      <c r="DR92" s="195"/>
      <c r="DS92" s="195"/>
      <c r="DT92" s="195"/>
    </row>
    <row r="93" spans="1:125" ht="12.75" customHeight="1" x14ac:dyDescent="0.2">
      <c r="C93" s="408" t="s">
        <v>285</v>
      </c>
      <c r="D93" s="409"/>
      <c r="E93" s="409"/>
      <c r="F93" s="409"/>
      <c r="G93" s="409"/>
      <c r="H93" s="409"/>
      <c r="I93" s="409"/>
      <c r="J93" s="409"/>
      <c r="K93" s="409"/>
      <c r="L93" s="409"/>
      <c r="M93" s="409"/>
      <c r="N93" s="409"/>
      <c r="O93" s="409"/>
      <c r="P93" s="409"/>
      <c r="Q93" s="409"/>
      <c r="R93" s="409"/>
      <c r="S93" s="410"/>
      <c r="T93" s="195"/>
      <c r="U93" s="195"/>
      <c r="V93" s="195"/>
      <c r="W93" s="195"/>
      <c r="X93" s="195"/>
      <c r="Y93" s="22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  <c r="BB93" s="195"/>
      <c r="BC93" s="195"/>
      <c r="BD93" s="195"/>
      <c r="BE93" s="195"/>
      <c r="BF93" s="195"/>
      <c r="BG93" s="195"/>
      <c r="BH93" s="195"/>
      <c r="BI93" s="195"/>
      <c r="BJ93" s="195"/>
      <c r="BK93" s="195"/>
      <c r="BL93" s="195"/>
      <c r="BM93" s="195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  <c r="BX93" s="195"/>
      <c r="BY93" s="195"/>
      <c r="BZ93" s="195"/>
      <c r="CA93" s="195"/>
      <c r="CB93" s="195"/>
      <c r="CC93" s="195"/>
      <c r="CD93" s="195"/>
      <c r="CE93" s="195"/>
      <c r="CF93" s="195"/>
      <c r="CG93" s="195"/>
      <c r="CH93" s="195"/>
      <c r="CI93" s="195"/>
      <c r="CJ93" s="195"/>
      <c r="CK93" s="195"/>
      <c r="CL93" s="195"/>
      <c r="CM93" s="195"/>
      <c r="CN93" s="195"/>
      <c r="CO93" s="195"/>
      <c r="CP93" s="195"/>
      <c r="CQ93" s="195"/>
      <c r="CR93" s="195"/>
      <c r="CS93" s="195"/>
      <c r="CT93" s="195"/>
      <c r="CU93" s="195"/>
      <c r="CV93" s="195"/>
      <c r="CW93" s="195"/>
      <c r="CX93" s="195"/>
      <c r="CY93" s="195"/>
      <c r="CZ93" s="195"/>
      <c r="DA93" s="195"/>
      <c r="DB93" s="195"/>
      <c r="DC93" s="195"/>
      <c r="DD93" s="195"/>
      <c r="DE93" s="195"/>
      <c r="DF93" s="195"/>
      <c r="DG93" s="195"/>
      <c r="DH93" s="195"/>
      <c r="DI93" s="195"/>
      <c r="DJ93" s="195"/>
      <c r="DK93" s="195"/>
      <c r="DL93" s="195"/>
      <c r="DM93" s="195"/>
      <c r="DN93" s="195"/>
      <c r="DO93" s="195"/>
      <c r="DP93" s="195"/>
      <c r="DQ93" s="195"/>
      <c r="DR93" s="195"/>
      <c r="DS93" s="195"/>
      <c r="DT93" s="195"/>
    </row>
    <row r="94" spans="1:125" ht="25.5" hidden="1" x14ac:dyDescent="0.2">
      <c r="C94" s="30" t="s">
        <v>274</v>
      </c>
      <c r="D94" s="94" t="e">
        <f>SUMIFS('Перечень инв.проектов ВО'!#REF!,'Перечень инв.проектов ВО'!$AF$3:$AF$226,"Сети",'Перечень инв.проектов ВО'!$B$3:$B$226,C$90)</f>
        <v>#REF!</v>
      </c>
      <c r="E94" s="51">
        <v>30</v>
      </c>
      <c r="F94" s="82">
        <f t="shared" ref="F94:F98" si="29">ROUND(100/E94,2)</f>
        <v>3.33</v>
      </c>
      <c r="G94" s="94" t="e">
        <f t="shared" ref="G94:V113" si="30">$D94*$F94/100</f>
        <v>#REF!</v>
      </c>
      <c r="H94" s="94" t="e">
        <f t="shared" si="30"/>
        <v>#REF!</v>
      </c>
      <c r="I94" s="94" t="e">
        <f t="shared" si="30"/>
        <v>#REF!</v>
      </c>
      <c r="J94" s="94" t="e">
        <f t="shared" si="30"/>
        <v>#REF!</v>
      </c>
      <c r="K94" s="94" t="e">
        <f t="shared" si="30"/>
        <v>#REF!</v>
      </c>
      <c r="L94" s="94" t="e">
        <f t="shared" si="30"/>
        <v>#REF!</v>
      </c>
      <c r="M94" s="94" t="e">
        <f t="shared" si="30"/>
        <v>#REF!</v>
      </c>
      <c r="N94" s="94" t="e">
        <f t="shared" si="30"/>
        <v>#REF!</v>
      </c>
      <c r="O94" s="94" t="e">
        <f t="shared" si="30"/>
        <v>#REF!</v>
      </c>
      <c r="P94" s="94" t="e">
        <f t="shared" si="30"/>
        <v>#REF!</v>
      </c>
      <c r="Q94" s="94" t="e">
        <f t="shared" si="30"/>
        <v>#REF!</v>
      </c>
      <c r="R94" s="94" t="e">
        <f t="shared" si="30"/>
        <v>#REF!</v>
      </c>
      <c r="S94" s="94" t="e">
        <f t="shared" si="30"/>
        <v>#REF!</v>
      </c>
      <c r="T94" s="195"/>
      <c r="U94" s="195"/>
      <c r="V94" s="195"/>
      <c r="W94" s="195"/>
      <c r="X94" s="195"/>
      <c r="Y94" s="22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  <c r="BB94" s="195"/>
      <c r="BC94" s="195"/>
      <c r="BD94" s="195"/>
      <c r="BE94" s="195"/>
      <c r="BF94" s="195"/>
      <c r="BG94" s="195"/>
      <c r="BH94" s="195"/>
      <c r="BI94" s="195"/>
      <c r="BJ94" s="195"/>
      <c r="BK94" s="195"/>
      <c r="BL94" s="195"/>
      <c r="BM94" s="195"/>
      <c r="BN94" s="195"/>
      <c r="BO94" s="195"/>
      <c r="BP94" s="195"/>
      <c r="BQ94" s="195"/>
      <c r="BR94" s="195"/>
      <c r="BS94" s="195"/>
      <c r="BT94" s="195"/>
      <c r="BU94" s="195"/>
      <c r="BV94" s="195"/>
      <c r="BW94" s="195"/>
      <c r="BX94" s="195"/>
      <c r="BY94" s="195"/>
      <c r="BZ94" s="195"/>
      <c r="CA94" s="195"/>
      <c r="CB94" s="195"/>
      <c r="CC94" s="195"/>
      <c r="CD94" s="195"/>
      <c r="CE94" s="195"/>
      <c r="CF94" s="195"/>
      <c r="CG94" s="195"/>
      <c r="CH94" s="195"/>
      <c r="CI94" s="195"/>
      <c r="CJ94" s="195"/>
      <c r="CK94" s="195"/>
      <c r="CL94" s="195"/>
      <c r="CM94" s="195"/>
      <c r="CN94" s="195"/>
      <c r="CO94" s="195"/>
      <c r="CP94" s="195"/>
      <c r="CQ94" s="195"/>
      <c r="CR94" s="195"/>
      <c r="CS94" s="195"/>
      <c r="CT94" s="195"/>
      <c r="CU94" s="195"/>
      <c r="CV94" s="195"/>
      <c r="CW94" s="195"/>
      <c r="CX94" s="195"/>
      <c r="CY94" s="195"/>
      <c r="CZ94" s="195"/>
      <c r="DA94" s="195"/>
      <c r="DB94" s="195"/>
      <c r="DC94" s="195"/>
      <c r="DD94" s="195"/>
      <c r="DE94" s="195"/>
      <c r="DF94" s="195"/>
      <c r="DG94" s="195"/>
      <c r="DH94" s="195"/>
      <c r="DI94" s="195"/>
      <c r="DJ94" s="195"/>
      <c r="DK94" s="195"/>
      <c r="DL94" s="195"/>
      <c r="DM94" s="195"/>
      <c r="DN94" s="195"/>
      <c r="DO94" s="195"/>
      <c r="DP94" s="195"/>
      <c r="DQ94" s="195"/>
      <c r="DR94" s="195"/>
      <c r="DS94" s="195"/>
      <c r="DT94" s="195"/>
    </row>
    <row r="95" spans="1:125" ht="25.5" x14ac:dyDescent="0.2">
      <c r="C95" s="30" t="s">
        <v>275</v>
      </c>
      <c r="D95" s="94">
        <f>SUMIFS('Перечень инв.проектов ВО'!$L$3:$L$226,'Перечень инв.проектов ВО'!$AF$3:$AF$226,"Сети",'Перечень инв.проектов ВО'!$B$3:$B$226,C$90)</f>
        <v>50000</v>
      </c>
      <c r="E95" s="51">
        <v>30</v>
      </c>
      <c r="F95" s="82">
        <f t="shared" si="29"/>
        <v>3.33</v>
      </c>
      <c r="G95" s="94">
        <f t="shared" si="30"/>
        <v>1665</v>
      </c>
      <c r="H95" s="94">
        <f>$D95*$F95/100</f>
        <v>1665</v>
      </c>
      <c r="I95" s="94">
        <f>$D95*$F95/100</f>
        <v>1665</v>
      </c>
      <c r="J95" s="94">
        <f t="shared" si="30"/>
        <v>1665</v>
      </c>
      <c r="K95" s="94">
        <f t="shared" si="30"/>
        <v>1665</v>
      </c>
      <c r="L95" s="94">
        <f t="shared" si="30"/>
        <v>1665</v>
      </c>
      <c r="M95" s="94">
        <f t="shared" si="30"/>
        <v>1665</v>
      </c>
      <c r="N95" s="94">
        <f t="shared" si="30"/>
        <v>1665</v>
      </c>
      <c r="O95" s="94">
        <f t="shared" si="30"/>
        <v>1665</v>
      </c>
      <c r="P95" s="94">
        <f t="shared" si="30"/>
        <v>1665</v>
      </c>
      <c r="Q95" s="94">
        <f t="shared" si="30"/>
        <v>1665</v>
      </c>
      <c r="R95" s="94">
        <f t="shared" si="30"/>
        <v>1665</v>
      </c>
      <c r="S95" s="94">
        <f t="shared" si="30"/>
        <v>1665</v>
      </c>
      <c r="T95" s="195"/>
      <c r="U95" s="195"/>
      <c r="V95" s="195"/>
      <c r="W95" s="195"/>
      <c r="X95" s="195"/>
      <c r="Y95" s="22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  <c r="BB95" s="195"/>
      <c r="BC95" s="195"/>
      <c r="BD95" s="195"/>
      <c r="BE95" s="195"/>
      <c r="BF95" s="195"/>
      <c r="BG95" s="195"/>
      <c r="BH95" s="195"/>
      <c r="BI95" s="195"/>
      <c r="BJ95" s="195"/>
      <c r="BK95" s="195"/>
      <c r="BL95" s="195"/>
      <c r="BM95" s="195"/>
      <c r="BN95" s="195"/>
      <c r="BO95" s="195"/>
      <c r="BP95" s="195"/>
      <c r="BQ95" s="195"/>
      <c r="BR95" s="195"/>
      <c r="BS95" s="195"/>
      <c r="BT95" s="195"/>
      <c r="BU95" s="195"/>
      <c r="BV95" s="195"/>
      <c r="BW95" s="195"/>
      <c r="BX95" s="195"/>
      <c r="BY95" s="195"/>
      <c r="BZ95" s="195"/>
      <c r="CA95" s="195"/>
      <c r="CB95" s="195"/>
      <c r="CC95" s="195"/>
      <c r="CD95" s="195"/>
      <c r="CE95" s="195"/>
      <c r="CF95" s="195"/>
      <c r="CG95" s="195"/>
      <c r="CH95" s="195"/>
      <c r="CI95" s="195"/>
      <c r="CJ95" s="195"/>
      <c r="CK95" s="195"/>
      <c r="CL95" s="195"/>
      <c r="CM95" s="195"/>
      <c r="CN95" s="195"/>
      <c r="CO95" s="195"/>
      <c r="CP95" s="195"/>
      <c r="CQ95" s="195"/>
      <c r="CR95" s="195"/>
      <c r="CS95" s="195"/>
      <c r="CT95" s="195"/>
      <c r="CU95" s="195"/>
      <c r="CV95" s="195"/>
      <c r="CW95" s="195"/>
      <c r="CX95" s="195"/>
      <c r="CY95" s="195"/>
      <c r="CZ95" s="195"/>
      <c r="DA95" s="195"/>
      <c r="DB95" s="195"/>
      <c r="DC95" s="195"/>
      <c r="DD95" s="195"/>
      <c r="DE95" s="195"/>
      <c r="DF95" s="195"/>
      <c r="DG95" s="195"/>
      <c r="DH95" s="195"/>
      <c r="DI95" s="195"/>
      <c r="DJ95" s="195"/>
      <c r="DK95" s="195"/>
      <c r="DL95" s="195"/>
      <c r="DM95" s="195"/>
      <c r="DN95" s="195"/>
      <c r="DO95" s="195"/>
      <c r="DP95" s="195"/>
      <c r="DQ95" s="195"/>
      <c r="DR95" s="195"/>
      <c r="DS95" s="195"/>
      <c r="DT95" s="195"/>
    </row>
    <row r="96" spans="1:125" ht="25.5" x14ac:dyDescent="0.2">
      <c r="C96" s="30" t="s">
        <v>276</v>
      </c>
      <c r="D96" s="94">
        <f>SUMIFS('Перечень инв.проектов ВО'!$M$3:$M$226,'Перечень инв.проектов ВО'!$AF$3:$AF$226,"Сети",'Перечень инв.проектов ВО'!$B$3:$B$226,C$90)</f>
        <v>223343.02601065717</v>
      </c>
      <c r="E96" s="51">
        <v>30</v>
      </c>
      <c r="F96" s="82">
        <f t="shared" si="29"/>
        <v>3.33</v>
      </c>
      <c r="G96" s="94"/>
      <c r="H96" s="94">
        <f t="shared" si="30"/>
        <v>7437.3227661548835</v>
      </c>
      <c r="I96" s="94">
        <f t="shared" si="30"/>
        <v>7437.3227661548835</v>
      </c>
      <c r="J96" s="94">
        <f t="shared" si="30"/>
        <v>7437.3227661548835</v>
      </c>
      <c r="K96" s="94">
        <f t="shared" si="30"/>
        <v>7437.3227661548835</v>
      </c>
      <c r="L96" s="94">
        <f t="shared" si="30"/>
        <v>7437.3227661548835</v>
      </c>
      <c r="M96" s="94">
        <f t="shared" si="30"/>
        <v>7437.3227661548835</v>
      </c>
      <c r="N96" s="94">
        <f t="shared" si="30"/>
        <v>7437.3227661548835</v>
      </c>
      <c r="O96" s="94">
        <f t="shared" si="30"/>
        <v>7437.3227661548835</v>
      </c>
      <c r="P96" s="94">
        <f t="shared" si="30"/>
        <v>7437.3227661548835</v>
      </c>
      <c r="Q96" s="94">
        <f t="shared" si="30"/>
        <v>7437.3227661548835</v>
      </c>
      <c r="R96" s="94">
        <f t="shared" si="30"/>
        <v>7437.3227661548835</v>
      </c>
      <c r="S96" s="94">
        <f t="shared" si="30"/>
        <v>7437.3227661548835</v>
      </c>
      <c r="T96" s="195"/>
      <c r="U96" s="195"/>
      <c r="V96" s="195"/>
      <c r="W96" s="195"/>
      <c r="X96" s="195"/>
      <c r="Y96" s="22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  <c r="BB96" s="195"/>
      <c r="BC96" s="195"/>
      <c r="BD96" s="195"/>
      <c r="BE96" s="195"/>
      <c r="BF96" s="195"/>
      <c r="BG96" s="195"/>
      <c r="BH96" s="195"/>
      <c r="BI96" s="195"/>
      <c r="BJ96" s="195"/>
      <c r="BK96" s="195"/>
      <c r="BL96" s="195"/>
      <c r="BM96" s="195"/>
      <c r="BN96" s="195"/>
      <c r="BO96" s="195"/>
      <c r="BP96" s="195"/>
      <c r="BQ96" s="195"/>
      <c r="BR96" s="195"/>
      <c r="BS96" s="195"/>
      <c r="BT96" s="195"/>
      <c r="BU96" s="195"/>
      <c r="BV96" s="195"/>
      <c r="BW96" s="195"/>
      <c r="BX96" s="195"/>
      <c r="BY96" s="195"/>
      <c r="BZ96" s="195"/>
      <c r="CA96" s="195"/>
      <c r="CB96" s="195"/>
      <c r="CC96" s="195"/>
      <c r="CD96" s="195"/>
      <c r="CE96" s="195"/>
      <c r="CF96" s="195"/>
      <c r="CG96" s="195"/>
      <c r="CH96" s="195"/>
      <c r="CI96" s="195"/>
      <c r="CJ96" s="195"/>
      <c r="CK96" s="195"/>
      <c r="CL96" s="195"/>
      <c r="CM96" s="195"/>
      <c r="CN96" s="195"/>
      <c r="CO96" s="195"/>
      <c r="CP96" s="195"/>
      <c r="CQ96" s="195"/>
      <c r="CR96" s="195"/>
      <c r="CS96" s="195"/>
      <c r="CT96" s="195"/>
      <c r="CU96" s="195"/>
      <c r="CV96" s="195"/>
      <c r="CW96" s="195"/>
      <c r="CX96" s="195"/>
      <c r="CY96" s="195"/>
      <c r="CZ96" s="195"/>
      <c r="DA96" s="195"/>
      <c r="DB96" s="195"/>
      <c r="DC96" s="195"/>
      <c r="DD96" s="195"/>
      <c r="DE96" s="195"/>
      <c r="DF96" s="195"/>
      <c r="DG96" s="195"/>
      <c r="DH96" s="195"/>
      <c r="DI96" s="195"/>
      <c r="DJ96" s="195"/>
      <c r="DK96" s="195"/>
      <c r="DL96" s="195"/>
      <c r="DM96" s="195"/>
      <c r="DN96" s="195"/>
      <c r="DO96" s="195"/>
      <c r="DP96" s="195"/>
      <c r="DQ96" s="195"/>
      <c r="DR96" s="195"/>
      <c r="DS96" s="195"/>
      <c r="DT96" s="195"/>
    </row>
    <row r="97" spans="3:124" ht="25.5" x14ac:dyDescent="0.2">
      <c r="C97" s="30" t="s">
        <v>277</v>
      </c>
      <c r="D97" s="94">
        <f>SUMIFS('Перечень инв.проектов ВО'!$N$3:$N$226,'Перечень инв.проектов ВО'!$AF$3:$AF$226,"Сети",'Перечень инв.проектов ВО'!$B$3:$B$226,C$90)</f>
        <v>202480.78691350445</v>
      </c>
      <c r="E97" s="51">
        <v>30</v>
      </c>
      <c r="F97" s="82">
        <f t="shared" si="29"/>
        <v>3.33</v>
      </c>
      <c r="G97" s="94"/>
      <c r="H97" s="94"/>
      <c r="I97" s="94">
        <f t="shared" si="30"/>
        <v>6742.6102042196981</v>
      </c>
      <c r="J97" s="94">
        <f t="shared" si="30"/>
        <v>6742.6102042196981</v>
      </c>
      <c r="K97" s="94">
        <f t="shared" si="30"/>
        <v>6742.6102042196981</v>
      </c>
      <c r="L97" s="94">
        <f t="shared" si="30"/>
        <v>6742.6102042196981</v>
      </c>
      <c r="M97" s="94">
        <f t="shared" si="30"/>
        <v>6742.6102042196981</v>
      </c>
      <c r="N97" s="94">
        <f t="shared" si="30"/>
        <v>6742.6102042196981</v>
      </c>
      <c r="O97" s="94">
        <f t="shared" si="30"/>
        <v>6742.6102042196981</v>
      </c>
      <c r="P97" s="94">
        <f t="shared" si="30"/>
        <v>6742.6102042196981</v>
      </c>
      <c r="Q97" s="94">
        <f t="shared" si="30"/>
        <v>6742.6102042196981</v>
      </c>
      <c r="R97" s="94">
        <f t="shared" si="30"/>
        <v>6742.6102042196981</v>
      </c>
      <c r="S97" s="94">
        <f t="shared" si="30"/>
        <v>6742.6102042196981</v>
      </c>
      <c r="T97" s="195"/>
      <c r="U97" s="195"/>
      <c r="V97" s="195"/>
      <c r="W97" s="195"/>
      <c r="X97" s="195"/>
      <c r="Y97" s="22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  <c r="BB97" s="195"/>
      <c r="BC97" s="195"/>
      <c r="BD97" s="195"/>
      <c r="BE97" s="195"/>
      <c r="BF97" s="195"/>
      <c r="BG97" s="195"/>
      <c r="BH97" s="195"/>
      <c r="BI97" s="195"/>
      <c r="BJ97" s="195"/>
      <c r="BK97" s="195"/>
      <c r="BL97" s="195"/>
      <c r="BM97" s="195"/>
      <c r="BN97" s="195"/>
      <c r="BO97" s="195"/>
      <c r="BP97" s="195"/>
      <c r="BQ97" s="195"/>
      <c r="BR97" s="195"/>
      <c r="BS97" s="195"/>
      <c r="BT97" s="195"/>
      <c r="BU97" s="195"/>
      <c r="BV97" s="195"/>
      <c r="BW97" s="195"/>
      <c r="BX97" s="195"/>
      <c r="BY97" s="195"/>
      <c r="BZ97" s="195"/>
      <c r="CA97" s="195"/>
      <c r="CB97" s="195"/>
      <c r="CC97" s="195"/>
      <c r="CD97" s="195"/>
      <c r="CE97" s="195"/>
      <c r="CF97" s="195"/>
      <c r="CG97" s="195"/>
      <c r="CH97" s="195"/>
      <c r="CI97" s="195"/>
      <c r="CJ97" s="195"/>
      <c r="CK97" s="195"/>
      <c r="CL97" s="195"/>
      <c r="CM97" s="195"/>
      <c r="CN97" s="195"/>
      <c r="CO97" s="195"/>
      <c r="CP97" s="195"/>
      <c r="CQ97" s="195"/>
      <c r="CR97" s="195"/>
      <c r="CS97" s="195"/>
      <c r="CT97" s="195"/>
      <c r="CU97" s="195"/>
      <c r="CV97" s="195"/>
      <c r="CW97" s="195"/>
      <c r="CX97" s="195"/>
      <c r="CY97" s="195"/>
      <c r="CZ97" s="195"/>
      <c r="DA97" s="195"/>
      <c r="DB97" s="195"/>
      <c r="DC97" s="195"/>
      <c r="DD97" s="195"/>
      <c r="DE97" s="195"/>
      <c r="DF97" s="195"/>
      <c r="DG97" s="195"/>
      <c r="DH97" s="195"/>
      <c r="DI97" s="195"/>
      <c r="DJ97" s="195"/>
      <c r="DK97" s="195"/>
      <c r="DL97" s="195"/>
      <c r="DM97" s="195"/>
      <c r="DN97" s="195"/>
      <c r="DO97" s="195"/>
      <c r="DP97" s="195"/>
      <c r="DQ97" s="195"/>
      <c r="DR97" s="195"/>
      <c r="DS97" s="195"/>
      <c r="DT97" s="195"/>
    </row>
    <row r="98" spans="3:124" ht="25.5" x14ac:dyDescent="0.2">
      <c r="C98" s="30" t="s">
        <v>391</v>
      </c>
      <c r="D98" s="94">
        <f>SUMIFS('Перечень инв.проектов ВО'!$O$3:$O$226,'Перечень инв.проектов ВО'!$AF$3:$AF$226,"Сети",'Перечень инв.проектов ВО'!$B$3:$B$226,C$90)</f>
        <v>135912.60319004464</v>
      </c>
      <c r="E98" s="51">
        <v>30</v>
      </c>
      <c r="F98" s="82">
        <f t="shared" si="29"/>
        <v>3.33</v>
      </c>
      <c r="G98" s="94"/>
      <c r="H98" s="94"/>
      <c r="I98" s="94"/>
      <c r="J98" s="94">
        <f>$D98*$F98/100</f>
        <v>4525.8896862284864</v>
      </c>
      <c r="K98" s="94">
        <f t="shared" si="30"/>
        <v>4525.8896862284864</v>
      </c>
      <c r="L98" s="94">
        <f t="shared" si="30"/>
        <v>4525.8896862284864</v>
      </c>
      <c r="M98" s="94">
        <f t="shared" si="30"/>
        <v>4525.8896862284864</v>
      </c>
      <c r="N98" s="94">
        <f t="shared" si="30"/>
        <v>4525.8896862284864</v>
      </c>
      <c r="O98" s="94">
        <f t="shared" si="30"/>
        <v>4525.8896862284864</v>
      </c>
      <c r="P98" s="94">
        <f t="shared" si="30"/>
        <v>4525.8896862284864</v>
      </c>
      <c r="Q98" s="94">
        <f t="shared" si="30"/>
        <v>4525.8896862284864</v>
      </c>
      <c r="R98" s="94">
        <f t="shared" si="30"/>
        <v>4525.8896862284864</v>
      </c>
      <c r="S98" s="94">
        <f t="shared" si="30"/>
        <v>4525.8896862284864</v>
      </c>
      <c r="T98" s="195"/>
      <c r="U98" s="195"/>
      <c r="V98" s="195"/>
      <c r="W98" s="195"/>
      <c r="X98" s="195"/>
      <c r="Y98" s="22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  <c r="BB98" s="195"/>
      <c r="BC98" s="195"/>
      <c r="BD98" s="195"/>
      <c r="BE98" s="195"/>
      <c r="BF98" s="195"/>
      <c r="BG98" s="195"/>
      <c r="BH98" s="195"/>
      <c r="BI98" s="195"/>
      <c r="BJ98" s="195"/>
      <c r="BK98" s="195"/>
      <c r="BL98" s="195"/>
      <c r="BM98" s="195"/>
      <c r="BN98" s="195"/>
      <c r="BO98" s="195"/>
      <c r="BP98" s="195"/>
      <c r="BQ98" s="195"/>
      <c r="BR98" s="195"/>
      <c r="BS98" s="195"/>
      <c r="BT98" s="195"/>
      <c r="BU98" s="195"/>
      <c r="BV98" s="195"/>
      <c r="BW98" s="195"/>
      <c r="BX98" s="195"/>
      <c r="BY98" s="195"/>
      <c r="BZ98" s="195"/>
      <c r="CA98" s="195"/>
      <c r="CB98" s="195"/>
      <c r="CC98" s="195"/>
      <c r="CD98" s="195"/>
      <c r="CE98" s="195"/>
      <c r="CF98" s="195"/>
      <c r="CG98" s="195"/>
      <c r="CH98" s="195"/>
      <c r="CI98" s="195"/>
      <c r="CJ98" s="195"/>
      <c r="CK98" s="195"/>
      <c r="CL98" s="195"/>
      <c r="CM98" s="195"/>
      <c r="CN98" s="195"/>
      <c r="CO98" s="195"/>
      <c r="CP98" s="195"/>
      <c r="CQ98" s="195"/>
      <c r="CR98" s="195"/>
      <c r="CS98" s="195"/>
      <c r="CT98" s="195"/>
      <c r="CU98" s="195"/>
      <c r="CV98" s="195"/>
      <c r="CW98" s="195"/>
      <c r="CX98" s="195"/>
      <c r="CY98" s="195"/>
      <c r="CZ98" s="195"/>
      <c r="DA98" s="195"/>
      <c r="DB98" s="195"/>
      <c r="DC98" s="195"/>
      <c r="DD98" s="195"/>
      <c r="DE98" s="195"/>
      <c r="DF98" s="195"/>
      <c r="DG98" s="195"/>
      <c r="DH98" s="195"/>
      <c r="DI98" s="195"/>
      <c r="DJ98" s="195"/>
      <c r="DK98" s="195"/>
      <c r="DL98" s="195"/>
      <c r="DM98" s="195"/>
      <c r="DN98" s="195"/>
      <c r="DO98" s="195"/>
      <c r="DP98" s="195"/>
      <c r="DQ98" s="195"/>
      <c r="DR98" s="195"/>
      <c r="DS98" s="195"/>
      <c r="DT98" s="195"/>
    </row>
    <row r="99" spans="3:124" ht="25.5" x14ac:dyDescent="0.2">
      <c r="C99" s="30" t="s">
        <v>392</v>
      </c>
      <c r="D99" s="94">
        <f>SUMIFS('Перечень инв.проектов ВО'!$P$3:$P$226,'Перечень инв.проектов ВО'!$AF$3:$AF$226,"Сети",'Перечень инв.проектов ВО'!$B$3:$B$226,C$90)</f>
        <v>74043.056117646425</v>
      </c>
      <c r="E99" s="51">
        <v>30</v>
      </c>
      <c r="F99" s="82">
        <f t="shared" ref="F99:F107" si="31">ROUND(100/E99,2)</f>
        <v>3.33</v>
      </c>
      <c r="G99" s="94"/>
      <c r="H99" s="94"/>
      <c r="I99" s="94"/>
      <c r="J99" s="94"/>
      <c r="K99" s="94">
        <f t="shared" si="30"/>
        <v>2465.633768717626</v>
      </c>
      <c r="L99" s="94">
        <f t="shared" si="30"/>
        <v>2465.633768717626</v>
      </c>
      <c r="M99" s="94">
        <f t="shared" si="30"/>
        <v>2465.633768717626</v>
      </c>
      <c r="N99" s="94">
        <f t="shared" si="30"/>
        <v>2465.633768717626</v>
      </c>
      <c r="O99" s="94">
        <f t="shared" si="30"/>
        <v>2465.633768717626</v>
      </c>
      <c r="P99" s="94">
        <f t="shared" si="30"/>
        <v>2465.633768717626</v>
      </c>
      <c r="Q99" s="94">
        <f t="shared" si="30"/>
        <v>2465.633768717626</v>
      </c>
      <c r="R99" s="94">
        <f t="shared" si="30"/>
        <v>2465.633768717626</v>
      </c>
      <c r="S99" s="94">
        <f t="shared" si="30"/>
        <v>2465.633768717626</v>
      </c>
      <c r="T99" s="195"/>
      <c r="U99" s="195"/>
      <c r="V99" s="195"/>
      <c r="W99" s="195"/>
      <c r="X99" s="195"/>
      <c r="Y99" s="22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  <c r="BB99" s="195"/>
      <c r="BC99" s="195"/>
      <c r="BD99" s="195"/>
      <c r="BE99" s="195"/>
      <c r="BF99" s="195"/>
      <c r="BG99" s="195"/>
      <c r="BH99" s="195"/>
      <c r="BI99" s="195"/>
      <c r="BJ99" s="195"/>
      <c r="BK99" s="195"/>
      <c r="BL99" s="195"/>
      <c r="BM99" s="195"/>
      <c r="BN99" s="195"/>
      <c r="BO99" s="195"/>
      <c r="BP99" s="195"/>
      <c r="BQ99" s="195"/>
      <c r="BR99" s="195"/>
      <c r="BS99" s="195"/>
      <c r="BT99" s="195"/>
      <c r="BU99" s="195"/>
      <c r="BV99" s="195"/>
      <c r="BW99" s="195"/>
      <c r="BX99" s="195"/>
      <c r="BY99" s="195"/>
      <c r="BZ99" s="195"/>
      <c r="CA99" s="195"/>
      <c r="CB99" s="195"/>
      <c r="CC99" s="195"/>
      <c r="CD99" s="195"/>
      <c r="CE99" s="195"/>
      <c r="CF99" s="195"/>
      <c r="CG99" s="195"/>
      <c r="CH99" s="195"/>
      <c r="CI99" s="195"/>
      <c r="CJ99" s="195"/>
      <c r="CK99" s="195"/>
      <c r="CL99" s="195"/>
      <c r="CM99" s="195"/>
      <c r="CN99" s="195"/>
      <c r="CO99" s="195"/>
      <c r="CP99" s="195"/>
      <c r="CQ99" s="195"/>
      <c r="CR99" s="195"/>
      <c r="CS99" s="195"/>
      <c r="CT99" s="195"/>
      <c r="CU99" s="195"/>
      <c r="CV99" s="195"/>
      <c r="CW99" s="195"/>
      <c r="CX99" s="195"/>
      <c r="CY99" s="195"/>
      <c r="CZ99" s="195"/>
      <c r="DA99" s="195"/>
      <c r="DB99" s="195"/>
      <c r="DC99" s="195"/>
      <c r="DD99" s="195"/>
      <c r="DE99" s="195"/>
      <c r="DF99" s="195"/>
      <c r="DG99" s="195"/>
      <c r="DH99" s="195"/>
      <c r="DI99" s="195"/>
      <c r="DJ99" s="195"/>
      <c r="DK99" s="195"/>
      <c r="DL99" s="195"/>
      <c r="DM99" s="195"/>
      <c r="DN99" s="195"/>
      <c r="DO99" s="195"/>
      <c r="DP99" s="195"/>
      <c r="DQ99" s="195"/>
      <c r="DR99" s="195"/>
      <c r="DS99" s="195"/>
      <c r="DT99" s="195"/>
    </row>
    <row r="100" spans="3:124" ht="25.5" x14ac:dyDescent="0.2">
      <c r="C100" s="30" t="s">
        <v>393</v>
      </c>
      <c r="D100" s="94">
        <f>SUMIFS('Перечень инв.проектов ВО'!$Q$3:$Q$226,'Перечень инв.проектов ВО'!$AF$3:$AF$226,"Сети",'Перечень инв.проектов ВО'!$B$3:$B$226,C$90)</f>
        <v>147550.0979623523</v>
      </c>
      <c r="E100" s="51">
        <v>30</v>
      </c>
      <c r="F100" s="82">
        <f t="shared" si="31"/>
        <v>3.33</v>
      </c>
      <c r="G100" s="94"/>
      <c r="H100" s="94"/>
      <c r="I100" s="94"/>
      <c r="J100" s="94"/>
      <c r="K100" s="94"/>
      <c r="L100" s="94">
        <f t="shared" si="30"/>
        <v>4913.4182621463315</v>
      </c>
      <c r="M100" s="94">
        <f t="shared" si="30"/>
        <v>4913.4182621463315</v>
      </c>
      <c r="N100" s="94">
        <f t="shared" si="30"/>
        <v>4913.4182621463315</v>
      </c>
      <c r="O100" s="94">
        <f t="shared" si="30"/>
        <v>4913.4182621463315</v>
      </c>
      <c r="P100" s="94">
        <f t="shared" si="30"/>
        <v>4913.4182621463315</v>
      </c>
      <c r="Q100" s="94">
        <f t="shared" si="30"/>
        <v>4913.4182621463315</v>
      </c>
      <c r="R100" s="94">
        <f t="shared" si="30"/>
        <v>4913.4182621463315</v>
      </c>
      <c r="S100" s="94">
        <f t="shared" si="30"/>
        <v>4913.4182621463315</v>
      </c>
      <c r="T100" s="195"/>
      <c r="U100" s="195"/>
      <c r="V100" s="195"/>
      <c r="W100" s="195"/>
      <c r="X100" s="195"/>
      <c r="Y100" s="22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  <c r="BB100" s="195"/>
      <c r="BC100" s="195"/>
      <c r="BD100" s="195"/>
      <c r="BE100" s="195"/>
      <c r="BF100" s="195"/>
      <c r="BG100" s="195"/>
      <c r="BH100" s="195"/>
      <c r="BI100" s="195"/>
      <c r="BJ100" s="195"/>
      <c r="BK100" s="195"/>
      <c r="BL100" s="195"/>
      <c r="BM100" s="195"/>
      <c r="BN100" s="195"/>
      <c r="BO100" s="195"/>
      <c r="BP100" s="195"/>
      <c r="BQ100" s="195"/>
      <c r="BR100" s="195"/>
      <c r="BS100" s="195"/>
      <c r="BT100" s="195"/>
      <c r="BU100" s="195"/>
      <c r="BV100" s="195"/>
      <c r="BW100" s="195"/>
      <c r="BX100" s="195"/>
      <c r="BY100" s="195"/>
      <c r="BZ100" s="195"/>
      <c r="CA100" s="195"/>
      <c r="CB100" s="195"/>
      <c r="CC100" s="195"/>
      <c r="CD100" s="195"/>
      <c r="CE100" s="195"/>
      <c r="CF100" s="195"/>
      <c r="CG100" s="195"/>
      <c r="CH100" s="195"/>
      <c r="CI100" s="195"/>
      <c r="CJ100" s="195"/>
      <c r="CK100" s="195"/>
      <c r="CL100" s="195"/>
      <c r="CM100" s="195"/>
      <c r="CN100" s="195"/>
      <c r="CO100" s="195"/>
      <c r="CP100" s="195"/>
      <c r="CQ100" s="195"/>
      <c r="CR100" s="195"/>
      <c r="CS100" s="195"/>
      <c r="CT100" s="195"/>
      <c r="CU100" s="195"/>
      <c r="CV100" s="195"/>
      <c r="CW100" s="195"/>
      <c r="CX100" s="195"/>
      <c r="CY100" s="195"/>
      <c r="CZ100" s="195"/>
      <c r="DA100" s="195"/>
      <c r="DB100" s="195"/>
      <c r="DC100" s="195"/>
      <c r="DD100" s="195"/>
      <c r="DE100" s="195"/>
      <c r="DF100" s="195"/>
      <c r="DG100" s="195"/>
      <c r="DH100" s="195"/>
      <c r="DI100" s="195"/>
      <c r="DJ100" s="195"/>
      <c r="DK100" s="195"/>
      <c r="DL100" s="195"/>
      <c r="DM100" s="195"/>
      <c r="DN100" s="195"/>
      <c r="DO100" s="195"/>
      <c r="DP100" s="195"/>
      <c r="DQ100" s="195"/>
      <c r="DR100" s="195"/>
      <c r="DS100" s="195"/>
      <c r="DT100" s="195"/>
    </row>
    <row r="101" spans="3:124" ht="25.5" x14ac:dyDescent="0.2">
      <c r="C101" s="30" t="s">
        <v>394</v>
      </c>
      <c r="D101" s="94">
        <f>SUMIFS('Перечень инв.проектов ВО'!$R$3:$R$226,'Перечень инв.проектов ВО'!$AF$3:$AF$226,"Сети",'Перечень инв.проектов ВО'!$B$3:$B$226,C$90)</f>
        <v>158547.32148084638</v>
      </c>
      <c r="E101" s="51">
        <v>30</v>
      </c>
      <c r="F101" s="82">
        <f t="shared" si="31"/>
        <v>3.33</v>
      </c>
      <c r="G101" s="94"/>
      <c r="H101" s="94"/>
      <c r="I101" s="94"/>
      <c r="J101" s="94"/>
      <c r="K101" s="94"/>
      <c r="L101" s="94"/>
      <c r="M101" s="94">
        <f t="shared" si="30"/>
        <v>5279.6258053121846</v>
      </c>
      <c r="N101" s="94">
        <f t="shared" si="30"/>
        <v>5279.6258053121846</v>
      </c>
      <c r="O101" s="94">
        <f t="shared" si="30"/>
        <v>5279.6258053121846</v>
      </c>
      <c r="P101" s="94">
        <f t="shared" si="30"/>
        <v>5279.6258053121846</v>
      </c>
      <c r="Q101" s="94">
        <f t="shared" si="30"/>
        <v>5279.6258053121846</v>
      </c>
      <c r="R101" s="94">
        <f t="shared" si="30"/>
        <v>5279.6258053121846</v>
      </c>
      <c r="S101" s="94">
        <f t="shared" si="30"/>
        <v>5279.6258053121846</v>
      </c>
      <c r="T101" s="195"/>
      <c r="U101" s="195"/>
      <c r="V101" s="195"/>
      <c r="W101" s="195"/>
      <c r="X101" s="195"/>
      <c r="Y101" s="22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  <c r="BB101" s="195"/>
      <c r="BC101" s="195"/>
      <c r="BD101" s="195"/>
      <c r="BE101" s="195"/>
      <c r="BF101" s="195"/>
      <c r="BG101" s="195"/>
      <c r="BH101" s="195"/>
      <c r="BI101" s="195"/>
      <c r="BJ101" s="195"/>
      <c r="BK101" s="195"/>
      <c r="BL101" s="195"/>
      <c r="BM101" s="195"/>
      <c r="BN101" s="195"/>
      <c r="BO101" s="195"/>
      <c r="BP101" s="195"/>
      <c r="BQ101" s="195"/>
      <c r="BR101" s="195"/>
      <c r="BS101" s="195"/>
      <c r="BT101" s="195"/>
      <c r="BU101" s="195"/>
      <c r="BV101" s="195"/>
      <c r="BW101" s="195"/>
      <c r="BX101" s="195"/>
      <c r="BY101" s="195"/>
      <c r="BZ101" s="195"/>
      <c r="CA101" s="195"/>
      <c r="CB101" s="195"/>
      <c r="CC101" s="195"/>
      <c r="CD101" s="195"/>
      <c r="CE101" s="195"/>
      <c r="CF101" s="195"/>
      <c r="CG101" s="195"/>
      <c r="CH101" s="195"/>
      <c r="CI101" s="195"/>
      <c r="CJ101" s="195"/>
      <c r="CK101" s="195"/>
      <c r="CL101" s="195"/>
      <c r="CM101" s="195"/>
      <c r="CN101" s="195"/>
      <c r="CO101" s="195"/>
      <c r="CP101" s="195"/>
      <c r="CQ101" s="195"/>
      <c r="CR101" s="195"/>
      <c r="CS101" s="195"/>
      <c r="CT101" s="195"/>
      <c r="CU101" s="195"/>
      <c r="CV101" s="195"/>
      <c r="CW101" s="195"/>
      <c r="CX101" s="195"/>
      <c r="CY101" s="195"/>
      <c r="CZ101" s="195"/>
      <c r="DA101" s="195"/>
      <c r="DB101" s="195"/>
      <c r="DC101" s="195"/>
      <c r="DD101" s="195"/>
      <c r="DE101" s="195"/>
      <c r="DF101" s="195"/>
      <c r="DG101" s="195"/>
      <c r="DH101" s="195"/>
      <c r="DI101" s="195"/>
      <c r="DJ101" s="195"/>
      <c r="DK101" s="195"/>
      <c r="DL101" s="195"/>
      <c r="DM101" s="195"/>
      <c r="DN101" s="195"/>
      <c r="DO101" s="195"/>
      <c r="DP101" s="195"/>
      <c r="DQ101" s="195"/>
      <c r="DR101" s="195"/>
      <c r="DS101" s="195"/>
      <c r="DT101" s="195"/>
    </row>
    <row r="102" spans="3:124" ht="25.5" x14ac:dyDescent="0.2">
      <c r="C102" s="30" t="s">
        <v>395</v>
      </c>
      <c r="D102" s="94">
        <f>SUMIFS('Перечень инв.проектов ВО'!$S$3:$S$226,'Перечень инв.проектов ВО'!$AF$3:$AF$226,"Сети",'Перечень инв.проектов ВО'!$B$3:$B$226,C$90)</f>
        <v>164889.21634008025</v>
      </c>
      <c r="E102" s="51">
        <v>30</v>
      </c>
      <c r="F102" s="82">
        <f t="shared" si="31"/>
        <v>3.33</v>
      </c>
      <c r="G102" s="94"/>
      <c r="H102" s="94"/>
      <c r="I102" s="94"/>
      <c r="J102" s="94"/>
      <c r="K102" s="94"/>
      <c r="L102" s="94"/>
      <c r="M102" s="94"/>
      <c r="N102" s="94">
        <f t="shared" si="30"/>
        <v>5490.8109041246726</v>
      </c>
      <c r="O102" s="94">
        <f t="shared" si="30"/>
        <v>5490.8109041246726</v>
      </c>
      <c r="P102" s="94">
        <f t="shared" si="30"/>
        <v>5490.8109041246726</v>
      </c>
      <c r="Q102" s="94">
        <f t="shared" si="30"/>
        <v>5490.8109041246726</v>
      </c>
      <c r="R102" s="94">
        <f t="shared" si="30"/>
        <v>5490.8109041246726</v>
      </c>
      <c r="S102" s="94">
        <f t="shared" si="30"/>
        <v>5490.8109041246726</v>
      </c>
      <c r="T102" s="195"/>
      <c r="U102" s="195"/>
      <c r="V102" s="195"/>
      <c r="W102" s="195"/>
      <c r="X102" s="195"/>
      <c r="Y102" s="22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  <c r="BB102" s="195"/>
      <c r="BC102" s="195"/>
      <c r="BD102" s="195"/>
      <c r="BE102" s="195"/>
      <c r="BF102" s="195"/>
      <c r="BG102" s="195"/>
      <c r="BH102" s="195"/>
      <c r="BI102" s="195"/>
      <c r="BJ102" s="195"/>
      <c r="BK102" s="195"/>
      <c r="BL102" s="195"/>
      <c r="BM102" s="195"/>
      <c r="BN102" s="195"/>
      <c r="BO102" s="195"/>
      <c r="BP102" s="195"/>
      <c r="BQ102" s="195"/>
      <c r="BR102" s="195"/>
      <c r="BS102" s="195"/>
      <c r="BT102" s="195"/>
      <c r="BU102" s="195"/>
      <c r="BV102" s="195"/>
      <c r="BW102" s="195"/>
      <c r="BX102" s="195"/>
      <c r="BY102" s="195"/>
      <c r="BZ102" s="195"/>
      <c r="CA102" s="195"/>
      <c r="CB102" s="195"/>
      <c r="CC102" s="195"/>
      <c r="CD102" s="195"/>
      <c r="CE102" s="195"/>
      <c r="CF102" s="195"/>
      <c r="CG102" s="195"/>
      <c r="CH102" s="195"/>
      <c r="CI102" s="195"/>
      <c r="CJ102" s="195"/>
      <c r="CK102" s="195"/>
      <c r="CL102" s="195"/>
      <c r="CM102" s="195"/>
      <c r="CN102" s="195"/>
      <c r="CO102" s="195"/>
      <c r="CP102" s="195"/>
      <c r="CQ102" s="195"/>
      <c r="CR102" s="195"/>
      <c r="CS102" s="195"/>
      <c r="CT102" s="195"/>
      <c r="CU102" s="195"/>
      <c r="CV102" s="195"/>
      <c r="CW102" s="195"/>
      <c r="CX102" s="195"/>
      <c r="CY102" s="195"/>
      <c r="CZ102" s="195"/>
      <c r="DA102" s="195"/>
      <c r="DB102" s="195"/>
      <c r="DC102" s="195"/>
      <c r="DD102" s="195"/>
      <c r="DE102" s="195"/>
      <c r="DF102" s="195"/>
      <c r="DG102" s="195"/>
      <c r="DH102" s="195"/>
      <c r="DI102" s="195"/>
      <c r="DJ102" s="195"/>
      <c r="DK102" s="195"/>
      <c r="DL102" s="195"/>
      <c r="DM102" s="195"/>
      <c r="DN102" s="195"/>
      <c r="DO102" s="195"/>
      <c r="DP102" s="195"/>
      <c r="DQ102" s="195"/>
      <c r="DR102" s="195"/>
      <c r="DS102" s="195"/>
      <c r="DT102" s="195"/>
    </row>
    <row r="103" spans="3:124" ht="25.5" x14ac:dyDescent="0.2">
      <c r="C103" s="30" t="s">
        <v>396</v>
      </c>
      <c r="D103" s="94">
        <f>SUMIFS('Перечень инв.проектов ВО'!$T$3:$T$226,'Перечень инв.проектов ВО'!$AF$3:$AF$226,"Сети",'Перечень инв.проектов ВО'!$B$3:$B$226,C$90)</f>
        <v>174512.03579368346</v>
      </c>
      <c r="E103" s="51">
        <v>30</v>
      </c>
      <c r="F103" s="82">
        <f t="shared" si="31"/>
        <v>3.33</v>
      </c>
      <c r="G103" s="94"/>
      <c r="H103" s="94"/>
      <c r="I103" s="94"/>
      <c r="J103" s="94"/>
      <c r="K103" s="94"/>
      <c r="L103" s="94"/>
      <c r="M103" s="94"/>
      <c r="N103" s="94"/>
      <c r="O103" s="94">
        <f t="shared" si="30"/>
        <v>5811.2507919296595</v>
      </c>
      <c r="P103" s="94">
        <f t="shared" si="30"/>
        <v>5811.2507919296595</v>
      </c>
      <c r="Q103" s="94">
        <f t="shared" si="30"/>
        <v>5811.2507919296595</v>
      </c>
      <c r="R103" s="94">
        <f t="shared" si="30"/>
        <v>5811.2507919296595</v>
      </c>
      <c r="S103" s="94">
        <f t="shared" si="30"/>
        <v>5811.2507919296595</v>
      </c>
      <c r="T103" s="195"/>
      <c r="U103" s="195"/>
      <c r="V103" s="195"/>
      <c r="W103" s="195"/>
      <c r="X103" s="195"/>
      <c r="Y103" s="22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  <c r="BB103" s="195"/>
      <c r="BC103" s="195"/>
      <c r="BD103" s="195"/>
      <c r="BE103" s="195"/>
      <c r="BF103" s="195"/>
      <c r="BG103" s="195"/>
      <c r="BH103" s="195"/>
      <c r="BI103" s="195"/>
      <c r="BJ103" s="195"/>
      <c r="BK103" s="195"/>
      <c r="BL103" s="195"/>
      <c r="BM103" s="195"/>
      <c r="BN103" s="195"/>
      <c r="BO103" s="195"/>
      <c r="BP103" s="195"/>
      <c r="BQ103" s="195"/>
      <c r="BR103" s="195"/>
      <c r="BS103" s="195"/>
      <c r="BT103" s="195"/>
      <c r="BU103" s="195"/>
      <c r="BV103" s="195"/>
      <c r="BW103" s="195"/>
      <c r="BX103" s="195"/>
      <c r="BY103" s="195"/>
      <c r="BZ103" s="195"/>
      <c r="CA103" s="195"/>
      <c r="CB103" s="195"/>
      <c r="CC103" s="195"/>
      <c r="CD103" s="195"/>
      <c r="CE103" s="195"/>
      <c r="CF103" s="195"/>
      <c r="CG103" s="195"/>
      <c r="CH103" s="195"/>
      <c r="CI103" s="195"/>
      <c r="CJ103" s="195"/>
      <c r="CK103" s="195"/>
      <c r="CL103" s="195"/>
      <c r="CM103" s="195"/>
      <c r="CN103" s="195"/>
      <c r="CO103" s="195"/>
      <c r="CP103" s="195"/>
      <c r="CQ103" s="195"/>
      <c r="CR103" s="195"/>
      <c r="CS103" s="195"/>
      <c r="CT103" s="195"/>
      <c r="CU103" s="195"/>
      <c r="CV103" s="195"/>
      <c r="CW103" s="195"/>
      <c r="CX103" s="195"/>
      <c r="CY103" s="195"/>
      <c r="CZ103" s="195"/>
      <c r="DA103" s="195"/>
      <c r="DB103" s="195"/>
      <c r="DC103" s="195"/>
      <c r="DD103" s="195"/>
      <c r="DE103" s="195"/>
      <c r="DF103" s="195"/>
      <c r="DG103" s="195"/>
      <c r="DH103" s="195"/>
      <c r="DI103" s="195"/>
      <c r="DJ103" s="195"/>
      <c r="DK103" s="195"/>
      <c r="DL103" s="195"/>
      <c r="DM103" s="195"/>
      <c r="DN103" s="195"/>
      <c r="DO103" s="195"/>
      <c r="DP103" s="195"/>
      <c r="DQ103" s="195"/>
      <c r="DR103" s="195"/>
      <c r="DS103" s="195"/>
      <c r="DT103" s="195"/>
    </row>
    <row r="104" spans="3:124" ht="25.5" x14ac:dyDescent="0.2">
      <c r="C104" s="30" t="s">
        <v>397</v>
      </c>
      <c r="D104" s="94">
        <f>SUMIFS('Перечень инв.проектов ВО'!$U$3:$U$226,'Перечень инв.проектов ВО'!$AF$3:$AF$226,"Сети",'Перечень инв.проектов ВО'!$B$3:$B$226,C$90)</f>
        <v>181492.5236254308</v>
      </c>
      <c r="E104" s="51">
        <v>30</v>
      </c>
      <c r="F104" s="82">
        <f t="shared" si="31"/>
        <v>3.33</v>
      </c>
      <c r="G104" s="94"/>
      <c r="H104" s="94"/>
      <c r="I104" s="94"/>
      <c r="J104" s="94"/>
      <c r="K104" s="94"/>
      <c r="L104" s="94"/>
      <c r="M104" s="94"/>
      <c r="N104" s="94"/>
      <c r="O104" s="94"/>
      <c r="P104" s="94">
        <f t="shared" si="30"/>
        <v>6043.7010367268449</v>
      </c>
      <c r="Q104" s="94">
        <f t="shared" si="30"/>
        <v>6043.7010367268449</v>
      </c>
      <c r="R104" s="94">
        <f t="shared" si="30"/>
        <v>6043.7010367268449</v>
      </c>
      <c r="S104" s="94">
        <f t="shared" si="30"/>
        <v>6043.7010367268449</v>
      </c>
      <c r="T104" s="195"/>
      <c r="U104" s="195"/>
      <c r="V104" s="195"/>
      <c r="W104" s="195"/>
      <c r="X104" s="195"/>
      <c r="Y104" s="22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  <c r="BB104" s="195"/>
      <c r="BC104" s="195"/>
      <c r="BD104" s="195"/>
      <c r="BE104" s="195"/>
      <c r="BF104" s="195"/>
      <c r="BG104" s="195"/>
      <c r="BH104" s="195"/>
      <c r="BI104" s="195"/>
      <c r="BJ104" s="195"/>
      <c r="BK104" s="195"/>
      <c r="BL104" s="195"/>
      <c r="BM104" s="195"/>
      <c r="BN104" s="195"/>
      <c r="BO104" s="195"/>
      <c r="BP104" s="195"/>
      <c r="BQ104" s="195"/>
      <c r="BR104" s="195"/>
      <c r="BS104" s="195"/>
      <c r="BT104" s="195"/>
      <c r="BU104" s="195"/>
      <c r="BV104" s="195"/>
      <c r="BW104" s="195"/>
      <c r="BX104" s="195"/>
      <c r="BY104" s="195"/>
      <c r="BZ104" s="195"/>
      <c r="CA104" s="195"/>
      <c r="CB104" s="195"/>
      <c r="CC104" s="195"/>
      <c r="CD104" s="195"/>
      <c r="CE104" s="195"/>
      <c r="CF104" s="195"/>
      <c r="CG104" s="195"/>
      <c r="CH104" s="195"/>
      <c r="CI104" s="195"/>
      <c r="CJ104" s="195"/>
      <c r="CK104" s="195"/>
      <c r="CL104" s="195"/>
      <c r="CM104" s="195"/>
      <c r="CN104" s="195"/>
      <c r="CO104" s="195"/>
      <c r="CP104" s="195"/>
      <c r="CQ104" s="195"/>
      <c r="CR104" s="195"/>
      <c r="CS104" s="195"/>
      <c r="CT104" s="195"/>
      <c r="CU104" s="195"/>
      <c r="CV104" s="195"/>
      <c r="CW104" s="195"/>
      <c r="CX104" s="195"/>
      <c r="CY104" s="195"/>
      <c r="CZ104" s="195"/>
      <c r="DA104" s="195"/>
      <c r="DB104" s="195"/>
      <c r="DC104" s="195"/>
      <c r="DD104" s="195"/>
      <c r="DE104" s="195"/>
      <c r="DF104" s="195"/>
      <c r="DG104" s="195"/>
      <c r="DH104" s="195"/>
      <c r="DI104" s="195"/>
      <c r="DJ104" s="195"/>
      <c r="DK104" s="195"/>
      <c r="DL104" s="195"/>
      <c r="DM104" s="195"/>
      <c r="DN104" s="195"/>
      <c r="DO104" s="195"/>
      <c r="DP104" s="195"/>
      <c r="DQ104" s="195"/>
      <c r="DR104" s="195"/>
      <c r="DS104" s="195"/>
      <c r="DT104" s="195"/>
    </row>
    <row r="105" spans="3:124" ht="25.5" x14ac:dyDescent="0.2">
      <c r="C105" s="30" t="s">
        <v>398</v>
      </c>
      <c r="D105" s="94">
        <f>SUMIFS('Перечень инв.проектов ВО'!$V$3:$V$226,'Перечень инв.проектов ВО'!$AF$3:$AF$226,"Сети",'Перечень инв.проектов ВО'!$B$3:$B$226,C$90)</f>
        <v>188752.211370448</v>
      </c>
      <c r="E105" s="51">
        <v>30</v>
      </c>
      <c r="F105" s="82">
        <f t="shared" si="31"/>
        <v>3.33</v>
      </c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>
        <f t="shared" si="30"/>
        <v>6285.4486386359176</v>
      </c>
      <c r="R105" s="94">
        <f t="shared" si="30"/>
        <v>6285.4486386359176</v>
      </c>
      <c r="S105" s="94">
        <f t="shared" si="30"/>
        <v>6285.4486386359176</v>
      </c>
      <c r="T105" s="195"/>
      <c r="U105" s="195"/>
      <c r="V105" s="195"/>
      <c r="W105" s="195"/>
      <c r="X105" s="195"/>
      <c r="Y105" s="22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  <c r="BB105" s="195"/>
      <c r="BC105" s="195"/>
      <c r="BD105" s="195"/>
      <c r="BE105" s="195"/>
      <c r="BF105" s="195"/>
      <c r="BG105" s="195"/>
      <c r="BH105" s="195"/>
      <c r="BI105" s="195"/>
      <c r="BJ105" s="195"/>
      <c r="BK105" s="195"/>
      <c r="BL105" s="195"/>
      <c r="BM105" s="195"/>
      <c r="BN105" s="195"/>
      <c r="BO105" s="195"/>
      <c r="BP105" s="195"/>
      <c r="BQ105" s="195"/>
      <c r="BR105" s="195"/>
      <c r="BS105" s="195"/>
      <c r="BT105" s="195"/>
      <c r="BU105" s="195"/>
      <c r="BV105" s="195"/>
      <c r="BW105" s="195"/>
      <c r="BX105" s="195"/>
      <c r="BY105" s="195"/>
      <c r="BZ105" s="195"/>
      <c r="CA105" s="195"/>
      <c r="CB105" s="195"/>
      <c r="CC105" s="195"/>
      <c r="CD105" s="195"/>
      <c r="CE105" s="195"/>
      <c r="CF105" s="195"/>
      <c r="CG105" s="195"/>
      <c r="CH105" s="195"/>
      <c r="CI105" s="195"/>
      <c r="CJ105" s="195"/>
      <c r="CK105" s="195"/>
      <c r="CL105" s="195"/>
      <c r="CM105" s="195"/>
      <c r="CN105" s="195"/>
      <c r="CO105" s="195"/>
      <c r="CP105" s="195"/>
      <c r="CQ105" s="195"/>
      <c r="CR105" s="195"/>
      <c r="CS105" s="195"/>
      <c r="CT105" s="195"/>
      <c r="CU105" s="195"/>
      <c r="CV105" s="195"/>
      <c r="CW105" s="195"/>
      <c r="CX105" s="195"/>
      <c r="CY105" s="195"/>
      <c r="CZ105" s="195"/>
      <c r="DA105" s="195"/>
      <c r="DB105" s="195"/>
      <c r="DC105" s="195"/>
      <c r="DD105" s="195"/>
      <c r="DE105" s="195"/>
      <c r="DF105" s="195"/>
      <c r="DG105" s="195"/>
      <c r="DH105" s="195"/>
      <c r="DI105" s="195"/>
      <c r="DJ105" s="195"/>
      <c r="DK105" s="195"/>
      <c r="DL105" s="195"/>
      <c r="DM105" s="195"/>
      <c r="DN105" s="195"/>
      <c r="DO105" s="195"/>
      <c r="DP105" s="195"/>
      <c r="DQ105" s="195"/>
      <c r="DR105" s="195"/>
      <c r="DS105" s="195"/>
      <c r="DT105" s="195"/>
    </row>
    <row r="106" spans="3:124" ht="25.5" x14ac:dyDescent="0.2">
      <c r="C106" s="30" t="s">
        <v>399</v>
      </c>
      <c r="D106" s="94">
        <f>SUMIFS('Перечень инв.проектов ВО'!$W$3:$W$226,'Перечень инв.проектов ВО'!$AF$3:$AF$226,"Сети",'Перечень инв.проектов ВО'!$B$3:$B$226,C$90)</f>
        <v>196302.29582526593</v>
      </c>
      <c r="E106" s="51">
        <v>30</v>
      </c>
      <c r="F106" s="82">
        <f t="shared" si="31"/>
        <v>3.33</v>
      </c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>
        <f t="shared" si="30"/>
        <v>6536.8664509813561</v>
      </c>
      <c r="S106" s="94">
        <f t="shared" si="30"/>
        <v>6536.8664509813561</v>
      </c>
      <c r="T106" s="195"/>
      <c r="U106" s="195"/>
      <c r="V106" s="195"/>
      <c r="W106" s="195"/>
      <c r="X106" s="195"/>
      <c r="Y106" s="22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  <c r="BB106" s="195"/>
      <c r="BC106" s="195"/>
      <c r="BD106" s="195"/>
      <c r="BE106" s="195"/>
      <c r="BF106" s="195"/>
      <c r="BG106" s="195"/>
      <c r="BH106" s="195"/>
      <c r="BI106" s="195"/>
      <c r="BJ106" s="195"/>
      <c r="BK106" s="195"/>
      <c r="BL106" s="195"/>
      <c r="BM106" s="195"/>
      <c r="BN106" s="195"/>
      <c r="BO106" s="195"/>
      <c r="BP106" s="195"/>
      <c r="BQ106" s="195"/>
      <c r="BR106" s="195"/>
      <c r="BS106" s="195"/>
      <c r="BT106" s="195"/>
      <c r="BU106" s="195"/>
      <c r="BV106" s="195"/>
      <c r="BW106" s="195"/>
      <c r="BX106" s="195"/>
      <c r="BY106" s="195"/>
      <c r="BZ106" s="195"/>
      <c r="CA106" s="195"/>
      <c r="CB106" s="195"/>
      <c r="CC106" s="195"/>
      <c r="CD106" s="195"/>
      <c r="CE106" s="195"/>
      <c r="CF106" s="195"/>
      <c r="CG106" s="195"/>
      <c r="CH106" s="195"/>
      <c r="CI106" s="195"/>
      <c r="CJ106" s="195"/>
      <c r="CK106" s="195"/>
      <c r="CL106" s="195"/>
      <c r="CM106" s="195"/>
      <c r="CN106" s="195"/>
      <c r="CO106" s="195"/>
      <c r="CP106" s="195"/>
      <c r="CQ106" s="195"/>
      <c r="CR106" s="195"/>
      <c r="CS106" s="195"/>
      <c r="CT106" s="195"/>
      <c r="CU106" s="195"/>
      <c r="CV106" s="195"/>
      <c r="CW106" s="195"/>
      <c r="CX106" s="195"/>
      <c r="CY106" s="195"/>
      <c r="CZ106" s="195"/>
      <c r="DA106" s="195"/>
      <c r="DB106" s="195"/>
      <c r="DC106" s="195"/>
      <c r="DD106" s="195"/>
      <c r="DE106" s="195"/>
      <c r="DF106" s="195"/>
      <c r="DG106" s="195"/>
      <c r="DH106" s="195"/>
      <c r="DI106" s="195"/>
      <c r="DJ106" s="195"/>
      <c r="DK106" s="195"/>
      <c r="DL106" s="195"/>
      <c r="DM106" s="195"/>
      <c r="DN106" s="195"/>
      <c r="DO106" s="195"/>
      <c r="DP106" s="195"/>
      <c r="DQ106" s="195"/>
      <c r="DR106" s="195"/>
      <c r="DS106" s="195"/>
      <c r="DT106" s="195"/>
    </row>
    <row r="107" spans="3:124" ht="25.5" x14ac:dyDescent="0.2">
      <c r="C107" s="30" t="s">
        <v>400</v>
      </c>
      <c r="D107" s="94">
        <f>SUMIFS('Перечень инв.проектов ВО'!$X$3:$X$226,'Перечень инв.проектов ВО'!$AF$3:$AF$226,"Сети",'Перечень инв.проектов ВО'!$B$3:$B$226,C$90)</f>
        <v>204154.38685827659</v>
      </c>
      <c r="E107" s="51">
        <v>30</v>
      </c>
      <c r="F107" s="82">
        <f t="shared" si="31"/>
        <v>3.33</v>
      </c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>
        <f t="shared" si="30"/>
        <v>6798.3410823806107</v>
      </c>
      <c r="T107" s="195"/>
      <c r="U107" s="195"/>
      <c r="V107" s="195"/>
      <c r="W107" s="195"/>
      <c r="X107" s="195"/>
      <c r="Y107" s="22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  <c r="BB107" s="195"/>
      <c r="BC107" s="195"/>
      <c r="BD107" s="195"/>
      <c r="BE107" s="195"/>
      <c r="BF107" s="195"/>
      <c r="BG107" s="195"/>
      <c r="BH107" s="195"/>
      <c r="BI107" s="195"/>
      <c r="BJ107" s="195"/>
      <c r="BK107" s="195"/>
      <c r="BL107" s="195"/>
      <c r="BM107" s="195"/>
      <c r="BN107" s="195"/>
      <c r="BO107" s="195"/>
      <c r="BP107" s="195"/>
      <c r="BQ107" s="195"/>
      <c r="BR107" s="195"/>
      <c r="BS107" s="195"/>
      <c r="BT107" s="195"/>
      <c r="BU107" s="195"/>
      <c r="BV107" s="195"/>
      <c r="BW107" s="195"/>
      <c r="BX107" s="195"/>
      <c r="BY107" s="195"/>
      <c r="BZ107" s="195"/>
      <c r="CA107" s="195"/>
      <c r="CB107" s="195"/>
      <c r="CC107" s="195"/>
      <c r="CD107" s="195"/>
      <c r="CE107" s="195"/>
      <c r="CF107" s="195"/>
      <c r="CG107" s="195"/>
      <c r="CH107" s="195"/>
      <c r="CI107" s="195"/>
      <c r="CJ107" s="195"/>
      <c r="CK107" s="195"/>
      <c r="CL107" s="195"/>
      <c r="CM107" s="195"/>
      <c r="CN107" s="195"/>
      <c r="CO107" s="195"/>
      <c r="CP107" s="195"/>
      <c r="CQ107" s="195"/>
      <c r="CR107" s="195"/>
      <c r="CS107" s="195"/>
      <c r="CT107" s="195"/>
      <c r="CU107" s="195"/>
      <c r="CV107" s="195"/>
      <c r="CW107" s="195"/>
      <c r="CX107" s="195"/>
      <c r="CY107" s="195"/>
      <c r="CZ107" s="195"/>
      <c r="DA107" s="195"/>
      <c r="DB107" s="195"/>
      <c r="DC107" s="195"/>
      <c r="DD107" s="195"/>
      <c r="DE107" s="195"/>
      <c r="DF107" s="195"/>
      <c r="DG107" s="195"/>
      <c r="DH107" s="195"/>
      <c r="DI107" s="195"/>
      <c r="DJ107" s="195"/>
      <c r="DK107" s="195"/>
      <c r="DL107" s="195"/>
      <c r="DM107" s="195"/>
      <c r="DN107" s="195"/>
      <c r="DO107" s="195"/>
      <c r="DP107" s="195"/>
      <c r="DQ107" s="195"/>
      <c r="DR107" s="195"/>
      <c r="DS107" s="195"/>
      <c r="DT107" s="195"/>
    </row>
    <row r="108" spans="3:124" s="98" customFormat="1" ht="12.75" customHeight="1" x14ac:dyDescent="0.2">
      <c r="C108" s="407" t="s">
        <v>278</v>
      </c>
      <c r="D108" s="407"/>
      <c r="E108" s="407"/>
      <c r="F108" s="407"/>
      <c r="G108" s="97">
        <f>SUM(G95:G107)</f>
        <v>1665</v>
      </c>
      <c r="H108" s="97">
        <f t="shared" ref="H108:S108" si="32">SUM(H95:H107)</f>
        <v>9102.3227661548844</v>
      </c>
      <c r="I108" s="97">
        <f t="shared" si="32"/>
        <v>15844.932970374583</v>
      </c>
      <c r="J108" s="97">
        <f t="shared" si="32"/>
        <v>20370.822656603068</v>
      </c>
      <c r="K108" s="97">
        <f t="shared" si="32"/>
        <v>22836.456425320695</v>
      </c>
      <c r="L108" s="97">
        <f t="shared" si="32"/>
        <v>27749.874687467025</v>
      </c>
      <c r="M108" s="97">
        <f t="shared" si="32"/>
        <v>33029.500492779211</v>
      </c>
      <c r="N108" s="97">
        <f t="shared" si="32"/>
        <v>38520.311396903882</v>
      </c>
      <c r="O108" s="97">
        <f t="shared" si="32"/>
        <v>44331.562188833544</v>
      </c>
      <c r="P108" s="97">
        <f t="shared" si="32"/>
        <v>50375.263225560389</v>
      </c>
      <c r="Q108" s="97">
        <f t="shared" si="32"/>
        <v>56660.71186419631</v>
      </c>
      <c r="R108" s="97">
        <f t="shared" si="32"/>
        <v>63197.578315177663</v>
      </c>
      <c r="S108" s="97">
        <f t="shared" si="32"/>
        <v>69995.919397558275</v>
      </c>
      <c r="T108" s="195"/>
      <c r="U108" s="195"/>
      <c r="V108" s="195"/>
      <c r="W108" s="195"/>
      <c r="X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  <c r="BB108" s="195"/>
      <c r="BC108" s="195"/>
      <c r="BD108" s="195"/>
      <c r="BE108" s="195"/>
      <c r="BF108" s="195"/>
      <c r="BG108" s="195"/>
      <c r="BH108" s="195"/>
      <c r="BI108" s="195"/>
      <c r="BJ108" s="195"/>
      <c r="BK108" s="195"/>
      <c r="BL108" s="195"/>
      <c r="BM108" s="195"/>
      <c r="BN108" s="195"/>
      <c r="BO108" s="195"/>
      <c r="BP108" s="195"/>
      <c r="BQ108" s="195"/>
      <c r="BR108" s="195"/>
      <c r="BS108" s="195"/>
      <c r="BT108" s="195"/>
      <c r="BU108" s="195"/>
      <c r="BV108" s="195"/>
      <c r="BW108" s="195"/>
      <c r="BX108" s="195"/>
      <c r="BY108" s="195"/>
      <c r="BZ108" s="195"/>
      <c r="CA108" s="195"/>
      <c r="CB108" s="195"/>
      <c r="CC108" s="195"/>
      <c r="CD108" s="195"/>
      <c r="CE108" s="195"/>
      <c r="CF108" s="195"/>
      <c r="CG108" s="195"/>
      <c r="CH108" s="195"/>
      <c r="CI108" s="195"/>
      <c r="CJ108" s="195"/>
      <c r="CK108" s="195"/>
      <c r="CL108" s="195"/>
      <c r="CM108" s="195"/>
      <c r="CN108" s="195"/>
      <c r="CO108" s="195"/>
      <c r="CP108" s="195"/>
      <c r="CQ108" s="195"/>
      <c r="CR108" s="195"/>
      <c r="CS108" s="195"/>
      <c r="CT108" s="195"/>
      <c r="CU108" s="195"/>
      <c r="CV108" s="195"/>
      <c r="CW108" s="195"/>
      <c r="CX108" s="195"/>
      <c r="CY108" s="195"/>
      <c r="CZ108" s="195"/>
      <c r="DA108" s="195"/>
      <c r="DB108" s="195"/>
      <c r="DC108" s="195"/>
      <c r="DD108" s="195"/>
      <c r="DE108" s="195"/>
      <c r="DF108" s="195"/>
      <c r="DG108" s="195"/>
      <c r="DH108" s="195"/>
      <c r="DI108" s="195"/>
      <c r="DJ108" s="195"/>
      <c r="DK108" s="195"/>
      <c r="DL108" s="195"/>
      <c r="DM108" s="195"/>
      <c r="DN108" s="195"/>
      <c r="DO108" s="195"/>
      <c r="DP108" s="195"/>
      <c r="DQ108" s="195"/>
      <c r="DR108" s="195"/>
      <c r="DS108" s="195"/>
      <c r="DT108" s="195"/>
    </row>
    <row r="109" spans="3:124" ht="12.75" customHeight="1" x14ac:dyDescent="0.2">
      <c r="C109" s="408" t="s">
        <v>286</v>
      </c>
      <c r="D109" s="409"/>
      <c r="E109" s="409"/>
      <c r="F109" s="409"/>
      <c r="G109" s="409"/>
      <c r="H109" s="409"/>
      <c r="I109" s="409"/>
      <c r="J109" s="409"/>
      <c r="K109" s="409"/>
      <c r="L109" s="409"/>
      <c r="M109" s="409"/>
      <c r="N109" s="409"/>
      <c r="O109" s="409"/>
      <c r="P109" s="409"/>
      <c r="Q109" s="409"/>
      <c r="R109" s="409"/>
      <c r="S109" s="410"/>
      <c r="T109" s="195"/>
      <c r="U109" s="195"/>
      <c r="V109" s="195"/>
      <c r="W109" s="195"/>
      <c r="X109" s="195"/>
      <c r="Y109" s="22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95"/>
      <c r="CA109" s="195"/>
      <c r="CB109" s="195"/>
      <c r="CC109" s="195"/>
      <c r="CD109" s="195"/>
      <c r="CE109" s="195"/>
      <c r="CF109" s="195"/>
      <c r="CG109" s="195"/>
      <c r="CH109" s="195"/>
      <c r="CI109" s="195"/>
      <c r="CJ109" s="195"/>
      <c r="CK109" s="195"/>
      <c r="CL109" s="195"/>
      <c r="CM109" s="195"/>
      <c r="CN109" s="195"/>
      <c r="CO109" s="195"/>
      <c r="CP109" s="195"/>
      <c r="CQ109" s="195"/>
      <c r="CR109" s="195"/>
      <c r="CS109" s="195"/>
      <c r="CT109" s="195"/>
      <c r="CU109" s="195"/>
      <c r="CV109" s="195"/>
      <c r="CW109" s="195"/>
      <c r="CX109" s="195"/>
      <c r="CY109" s="195"/>
      <c r="CZ109" s="195"/>
      <c r="DA109" s="195"/>
      <c r="DB109" s="195"/>
      <c r="DC109" s="195"/>
      <c r="DD109" s="195"/>
      <c r="DE109" s="195"/>
      <c r="DF109" s="195"/>
      <c r="DG109" s="195"/>
      <c r="DH109" s="195"/>
      <c r="DI109" s="195"/>
      <c r="DJ109" s="195"/>
      <c r="DK109" s="195"/>
      <c r="DL109" s="195"/>
      <c r="DM109" s="195"/>
      <c r="DN109" s="195"/>
      <c r="DO109" s="195"/>
      <c r="DP109" s="195"/>
      <c r="DQ109" s="195"/>
      <c r="DR109" s="195"/>
      <c r="DS109" s="195"/>
      <c r="DT109" s="195"/>
    </row>
    <row r="110" spans="3:124" ht="25.5" hidden="1" x14ac:dyDescent="0.2">
      <c r="C110" s="30" t="s">
        <v>274</v>
      </c>
      <c r="D110" s="94" t="e">
        <f>SUMIFS('Перечень инв.проектов ВО'!#REF!,'Перечень инв.проектов ВО'!$AF$3:$AF$226,"оск",'Перечень инв.проектов ВО'!$B$3:$B$226,C$90)</f>
        <v>#REF!</v>
      </c>
      <c r="E110" s="51">
        <v>25</v>
      </c>
      <c r="F110" s="82">
        <f t="shared" ref="F110:F114" si="33">ROUND(100/E110,2)</f>
        <v>4</v>
      </c>
      <c r="G110" s="94" t="e">
        <f t="shared" si="30"/>
        <v>#REF!</v>
      </c>
      <c r="H110" s="94" t="e">
        <f t="shared" si="30"/>
        <v>#REF!</v>
      </c>
      <c r="I110" s="94" t="e">
        <f t="shared" si="30"/>
        <v>#REF!</v>
      </c>
      <c r="J110" s="94" t="e">
        <f t="shared" si="30"/>
        <v>#REF!</v>
      </c>
      <c r="K110" s="94" t="e">
        <f t="shared" si="30"/>
        <v>#REF!</v>
      </c>
      <c r="L110" s="94" t="e">
        <f t="shared" si="30"/>
        <v>#REF!</v>
      </c>
      <c r="M110" s="94" t="e">
        <f t="shared" si="30"/>
        <v>#REF!</v>
      </c>
      <c r="N110" s="94" t="e">
        <f t="shared" si="30"/>
        <v>#REF!</v>
      </c>
      <c r="O110" s="94" t="e">
        <f t="shared" si="30"/>
        <v>#REF!</v>
      </c>
      <c r="P110" s="94" t="e">
        <f t="shared" si="30"/>
        <v>#REF!</v>
      </c>
      <c r="Q110" s="94" t="e">
        <f t="shared" si="30"/>
        <v>#REF!</v>
      </c>
      <c r="R110" s="94" t="e">
        <f t="shared" si="30"/>
        <v>#REF!</v>
      </c>
      <c r="S110" s="94" t="e">
        <f t="shared" si="30"/>
        <v>#REF!</v>
      </c>
      <c r="T110" s="195" t="e">
        <f t="shared" si="30"/>
        <v>#REF!</v>
      </c>
      <c r="U110" s="195" t="e">
        <f t="shared" si="30"/>
        <v>#REF!</v>
      </c>
      <c r="V110" s="195" t="e">
        <f t="shared" si="30"/>
        <v>#REF!</v>
      </c>
      <c r="W110" s="195" t="e">
        <f t="shared" ref="W110:X110" si="34">$D110*$F110/100</f>
        <v>#REF!</v>
      </c>
      <c r="X110" s="195" t="e">
        <f t="shared" si="34"/>
        <v>#REF!</v>
      </c>
      <c r="Y110" s="22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95"/>
      <c r="CA110" s="195"/>
      <c r="CB110" s="195"/>
      <c r="CC110" s="195"/>
      <c r="CD110" s="195"/>
      <c r="CE110" s="195"/>
      <c r="CF110" s="195"/>
      <c r="CG110" s="195"/>
      <c r="CH110" s="195"/>
      <c r="CI110" s="195"/>
      <c r="CJ110" s="195"/>
      <c r="CK110" s="195"/>
      <c r="CL110" s="195"/>
      <c r="CM110" s="195"/>
      <c r="CN110" s="195"/>
      <c r="CO110" s="195"/>
      <c r="CP110" s="195"/>
      <c r="CQ110" s="195"/>
      <c r="CR110" s="195"/>
      <c r="CS110" s="195"/>
      <c r="CT110" s="195"/>
      <c r="CU110" s="195"/>
      <c r="CV110" s="195"/>
      <c r="CW110" s="195"/>
      <c r="CX110" s="195"/>
      <c r="CY110" s="195"/>
      <c r="CZ110" s="195"/>
      <c r="DA110" s="195"/>
      <c r="DB110" s="195"/>
      <c r="DC110" s="195"/>
      <c r="DD110" s="195"/>
      <c r="DE110" s="195"/>
      <c r="DF110" s="195"/>
      <c r="DG110" s="195"/>
      <c r="DH110" s="195"/>
      <c r="DI110" s="195"/>
      <c r="DJ110" s="195"/>
      <c r="DK110" s="195"/>
      <c r="DL110" s="195"/>
      <c r="DM110" s="195"/>
      <c r="DN110" s="195"/>
      <c r="DO110" s="195"/>
      <c r="DP110" s="195"/>
      <c r="DQ110" s="195"/>
      <c r="DR110" s="195"/>
      <c r="DS110" s="195"/>
      <c r="DT110" s="195"/>
    </row>
    <row r="111" spans="3:124" ht="25.5" x14ac:dyDescent="0.2">
      <c r="C111" s="30" t="s">
        <v>275</v>
      </c>
      <c r="D111" s="94">
        <f>SUMIFS('Перечень инв.проектов ВО'!$L$3:$L$226,'Перечень инв.проектов ВО'!$AF$3:$AF$226,"оск",'Перечень инв.проектов ВО'!$B$3:$B$226,C$90)</f>
        <v>0</v>
      </c>
      <c r="E111" s="51">
        <v>25</v>
      </c>
      <c r="F111" s="82">
        <f t="shared" si="33"/>
        <v>4</v>
      </c>
      <c r="G111" s="94">
        <f t="shared" si="30"/>
        <v>0</v>
      </c>
      <c r="H111" s="94">
        <f t="shared" si="30"/>
        <v>0</v>
      </c>
      <c r="I111" s="94">
        <f t="shared" si="30"/>
        <v>0</v>
      </c>
      <c r="J111" s="94">
        <f t="shared" si="30"/>
        <v>0</v>
      </c>
      <c r="K111" s="94">
        <f t="shared" si="30"/>
        <v>0</v>
      </c>
      <c r="L111" s="94">
        <f t="shared" si="30"/>
        <v>0</v>
      </c>
      <c r="M111" s="94">
        <f t="shared" si="30"/>
        <v>0</v>
      </c>
      <c r="N111" s="94">
        <f t="shared" si="30"/>
        <v>0</v>
      </c>
      <c r="O111" s="94">
        <f t="shared" si="30"/>
        <v>0</v>
      </c>
      <c r="P111" s="94">
        <f t="shared" si="30"/>
        <v>0</v>
      </c>
      <c r="Q111" s="94">
        <f t="shared" si="30"/>
        <v>0</v>
      </c>
      <c r="R111" s="94">
        <f t="shared" si="30"/>
        <v>0</v>
      </c>
      <c r="S111" s="94">
        <f t="shared" si="30"/>
        <v>0</v>
      </c>
      <c r="T111" s="195"/>
      <c r="U111" s="195"/>
      <c r="V111" s="195"/>
      <c r="W111" s="195"/>
      <c r="X111" s="195"/>
      <c r="Y111" s="22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  <c r="BB111" s="195"/>
      <c r="BC111" s="195"/>
      <c r="BD111" s="195"/>
      <c r="BE111" s="195"/>
      <c r="BF111" s="195"/>
      <c r="BG111" s="195"/>
      <c r="BH111" s="195"/>
      <c r="BI111" s="195"/>
      <c r="BJ111" s="195"/>
      <c r="BK111" s="195"/>
      <c r="BL111" s="195"/>
      <c r="BM111" s="195"/>
      <c r="BN111" s="195"/>
      <c r="BO111" s="195"/>
      <c r="BP111" s="195"/>
      <c r="BQ111" s="195"/>
      <c r="BR111" s="195"/>
      <c r="BS111" s="195"/>
      <c r="BT111" s="195"/>
      <c r="BU111" s="195"/>
      <c r="BV111" s="195"/>
      <c r="BW111" s="195"/>
      <c r="BX111" s="195"/>
      <c r="BY111" s="195"/>
      <c r="BZ111" s="195"/>
      <c r="CA111" s="195"/>
      <c r="CB111" s="195"/>
      <c r="CC111" s="195"/>
      <c r="CD111" s="195"/>
      <c r="CE111" s="195"/>
      <c r="CF111" s="195"/>
      <c r="CG111" s="195"/>
      <c r="CH111" s="195"/>
      <c r="CI111" s="195"/>
      <c r="CJ111" s="195"/>
      <c r="CK111" s="195"/>
      <c r="CL111" s="195"/>
      <c r="CM111" s="195"/>
      <c r="CN111" s="195"/>
      <c r="CO111" s="195"/>
      <c r="CP111" s="195"/>
      <c r="CQ111" s="195"/>
      <c r="CR111" s="195"/>
      <c r="CS111" s="195"/>
      <c r="CT111" s="195"/>
      <c r="CU111" s="195"/>
      <c r="CV111" s="195"/>
      <c r="CW111" s="195"/>
      <c r="CX111" s="195"/>
      <c r="CY111" s="195"/>
      <c r="CZ111" s="195"/>
      <c r="DA111" s="195"/>
      <c r="DB111" s="195"/>
      <c r="DC111" s="195"/>
      <c r="DD111" s="195"/>
      <c r="DE111" s="195"/>
      <c r="DF111" s="195"/>
      <c r="DG111" s="195"/>
      <c r="DH111" s="195"/>
      <c r="DI111" s="195"/>
      <c r="DJ111" s="195"/>
      <c r="DK111" s="195"/>
      <c r="DL111" s="195"/>
      <c r="DM111" s="195"/>
      <c r="DN111" s="195"/>
      <c r="DO111" s="195"/>
      <c r="DP111" s="195"/>
      <c r="DQ111" s="195"/>
      <c r="DR111" s="195"/>
      <c r="DS111" s="195"/>
      <c r="DT111" s="195"/>
    </row>
    <row r="112" spans="3:124" ht="25.5" x14ac:dyDescent="0.2">
      <c r="C112" s="30" t="s">
        <v>276</v>
      </c>
      <c r="D112" s="94">
        <f>SUMIFS('Перечень инв.проектов ВО'!$M$3:$M$226,'Перечень инв.проектов ВО'!$AF$3:$AF$226,"оск",'Перечень инв.проектов ВО'!$B$3:$B$226,C$90)</f>
        <v>0</v>
      </c>
      <c r="E112" s="51">
        <v>25</v>
      </c>
      <c r="F112" s="82">
        <f t="shared" si="33"/>
        <v>4</v>
      </c>
      <c r="G112" s="94"/>
      <c r="H112" s="94">
        <f t="shared" si="30"/>
        <v>0</v>
      </c>
      <c r="I112" s="94">
        <f t="shared" si="30"/>
        <v>0</v>
      </c>
      <c r="J112" s="94">
        <f t="shared" si="30"/>
        <v>0</v>
      </c>
      <c r="K112" s="94">
        <f t="shared" si="30"/>
        <v>0</v>
      </c>
      <c r="L112" s="94">
        <f t="shared" si="30"/>
        <v>0</v>
      </c>
      <c r="M112" s="94">
        <f t="shared" si="30"/>
        <v>0</v>
      </c>
      <c r="N112" s="94">
        <f t="shared" si="30"/>
        <v>0</v>
      </c>
      <c r="O112" s="94">
        <f t="shared" si="30"/>
        <v>0</v>
      </c>
      <c r="P112" s="94">
        <f t="shared" si="30"/>
        <v>0</v>
      </c>
      <c r="Q112" s="94">
        <f t="shared" si="30"/>
        <v>0</v>
      </c>
      <c r="R112" s="94">
        <f t="shared" si="30"/>
        <v>0</v>
      </c>
      <c r="S112" s="94">
        <f t="shared" si="30"/>
        <v>0</v>
      </c>
      <c r="T112" s="195"/>
      <c r="U112" s="195"/>
      <c r="V112" s="195"/>
      <c r="W112" s="195"/>
      <c r="X112" s="195"/>
      <c r="Y112" s="22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  <c r="BB112" s="195"/>
      <c r="BC112" s="195"/>
      <c r="BD112" s="195"/>
      <c r="BE112" s="195"/>
      <c r="BF112" s="195"/>
      <c r="BG112" s="195"/>
      <c r="BH112" s="195"/>
      <c r="BI112" s="195"/>
      <c r="BJ112" s="195"/>
      <c r="BK112" s="195"/>
      <c r="BL112" s="195"/>
      <c r="BM112" s="195"/>
      <c r="BN112" s="195"/>
      <c r="BO112" s="195"/>
      <c r="BP112" s="195"/>
      <c r="BQ112" s="195"/>
      <c r="BR112" s="195"/>
      <c r="BS112" s="195"/>
      <c r="BT112" s="195"/>
      <c r="BU112" s="195"/>
      <c r="BV112" s="195"/>
      <c r="BW112" s="195"/>
      <c r="BX112" s="195"/>
      <c r="BY112" s="195"/>
      <c r="BZ112" s="195"/>
      <c r="CA112" s="195"/>
      <c r="CB112" s="195"/>
      <c r="CC112" s="195"/>
      <c r="CD112" s="195"/>
      <c r="CE112" s="195"/>
      <c r="CF112" s="195"/>
      <c r="CG112" s="195"/>
      <c r="CH112" s="195"/>
      <c r="CI112" s="195"/>
      <c r="CJ112" s="195"/>
      <c r="CK112" s="195"/>
      <c r="CL112" s="195"/>
      <c r="CM112" s="195"/>
      <c r="CN112" s="195"/>
      <c r="CO112" s="195"/>
      <c r="CP112" s="195"/>
      <c r="CQ112" s="195"/>
      <c r="CR112" s="195"/>
      <c r="CS112" s="195"/>
      <c r="CT112" s="195"/>
      <c r="CU112" s="195"/>
      <c r="CV112" s="195"/>
      <c r="CW112" s="195"/>
      <c r="CX112" s="195"/>
      <c r="CY112" s="195"/>
      <c r="CZ112" s="195"/>
      <c r="DA112" s="195"/>
      <c r="DB112" s="195"/>
      <c r="DC112" s="195"/>
      <c r="DD112" s="195"/>
      <c r="DE112" s="195"/>
      <c r="DF112" s="195"/>
      <c r="DG112" s="195"/>
      <c r="DH112" s="195"/>
      <c r="DI112" s="195"/>
      <c r="DJ112" s="195"/>
      <c r="DK112" s="195"/>
      <c r="DL112" s="195"/>
      <c r="DM112" s="195"/>
      <c r="DN112" s="195"/>
      <c r="DO112" s="195"/>
      <c r="DP112" s="195"/>
      <c r="DQ112" s="195"/>
      <c r="DR112" s="195"/>
      <c r="DS112" s="195"/>
      <c r="DT112" s="195"/>
    </row>
    <row r="113" spans="3:124" ht="25.5" x14ac:dyDescent="0.2">
      <c r="C113" s="30" t="s">
        <v>277</v>
      </c>
      <c r="D113" s="94">
        <f>SUMIFS('Перечень инв.проектов ВО'!$N$3:$N$226,'Перечень инв.проектов ВО'!$AF$3:$AF$226,"оск",'Перечень инв.проектов ВО'!$B$3:$B$226,C$90)</f>
        <v>600000</v>
      </c>
      <c r="E113" s="51">
        <v>25</v>
      </c>
      <c r="F113" s="82">
        <f t="shared" si="33"/>
        <v>4</v>
      </c>
      <c r="G113" s="94"/>
      <c r="H113" s="94"/>
      <c r="I113" s="94">
        <f t="shared" si="30"/>
        <v>24000</v>
      </c>
      <c r="J113" s="94">
        <f t="shared" si="30"/>
        <v>24000</v>
      </c>
      <c r="K113" s="94">
        <f t="shared" si="30"/>
        <v>24000</v>
      </c>
      <c r="L113" s="94">
        <f t="shared" si="30"/>
        <v>24000</v>
      </c>
      <c r="M113" s="94">
        <f t="shared" si="30"/>
        <v>24000</v>
      </c>
      <c r="N113" s="94">
        <f t="shared" si="30"/>
        <v>24000</v>
      </c>
      <c r="O113" s="94">
        <f t="shared" si="30"/>
        <v>24000</v>
      </c>
      <c r="P113" s="94">
        <f t="shared" si="30"/>
        <v>24000</v>
      </c>
      <c r="Q113" s="94">
        <f t="shared" si="30"/>
        <v>24000</v>
      </c>
      <c r="R113" s="94">
        <f t="shared" si="30"/>
        <v>24000</v>
      </c>
      <c r="S113" s="94">
        <f t="shared" si="30"/>
        <v>24000</v>
      </c>
      <c r="T113" s="195"/>
      <c r="U113" s="195"/>
      <c r="V113" s="195"/>
      <c r="W113" s="195"/>
      <c r="X113" s="195"/>
      <c r="Y113" s="22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  <c r="BB113" s="195"/>
      <c r="BC113" s="195"/>
      <c r="BD113" s="195"/>
      <c r="BE113" s="195"/>
      <c r="BF113" s="195"/>
      <c r="BG113" s="195"/>
      <c r="BH113" s="195"/>
      <c r="BI113" s="195"/>
      <c r="BJ113" s="195"/>
      <c r="BK113" s="195"/>
      <c r="BL113" s="195"/>
      <c r="BM113" s="195"/>
      <c r="BN113" s="195"/>
      <c r="BO113" s="195"/>
      <c r="BP113" s="195"/>
      <c r="BQ113" s="195"/>
      <c r="BR113" s="195"/>
      <c r="BS113" s="195"/>
      <c r="BT113" s="195"/>
      <c r="BU113" s="195"/>
      <c r="BV113" s="195"/>
      <c r="BW113" s="195"/>
      <c r="BX113" s="195"/>
      <c r="BY113" s="195"/>
      <c r="BZ113" s="195"/>
      <c r="CA113" s="195"/>
      <c r="CB113" s="195"/>
      <c r="CC113" s="195"/>
      <c r="CD113" s="195"/>
      <c r="CE113" s="195"/>
      <c r="CF113" s="195"/>
      <c r="CG113" s="195"/>
      <c r="CH113" s="195"/>
      <c r="CI113" s="195"/>
      <c r="CJ113" s="195"/>
      <c r="CK113" s="195"/>
      <c r="CL113" s="195"/>
      <c r="CM113" s="195"/>
      <c r="CN113" s="195"/>
      <c r="CO113" s="195"/>
      <c r="CP113" s="195"/>
      <c r="CQ113" s="195"/>
      <c r="CR113" s="195"/>
      <c r="CS113" s="195"/>
      <c r="CT113" s="195"/>
      <c r="CU113" s="195"/>
      <c r="CV113" s="195"/>
      <c r="CW113" s="195"/>
      <c r="CX113" s="195"/>
      <c r="CY113" s="195"/>
      <c r="CZ113" s="195"/>
      <c r="DA113" s="195"/>
      <c r="DB113" s="195"/>
      <c r="DC113" s="195"/>
      <c r="DD113" s="195"/>
      <c r="DE113" s="195"/>
      <c r="DF113" s="195"/>
      <c r="DG113" s="195"/>
      <c r="DH113" s="195"/>
      <c r="DI113" s="195"/>
      <c r="DJ113" s="195"/>
      <c r="DK113" s="195"/>
      <c r="DL113" s="195"/>
      <c r="DM113" s="195"/>
      <c r="DN113" s="195"/>
      <c r="DO113" s="195"/>
      <c r="DP113" s="195"/>
      <c r="DQ113" s="195"/>
      <c r="DR113" s="195"/>
      <c r="DS113" s="195"/>
      <c r="DT113" s="195"/>
    </row>
    <row r="114" spans="3:124" ht="25.5" x14ac:dyDescent="0.2">
      <c r="C114" s="30" t="s">
        <v>391</v>
      </c>
      <c r="D114" s="94">
        <f>SUMIFS('Перечень инв.проектов ВО'!$O$3:$O$226,'Перечень инв.проектов ВО'!$AF$3:$AF$226,"оск",'Перечень инв.проектов ВО'!$B$3:$B$226,C$90)</f>
        <v>0</v>
      </c>
      <c r="E114" s="51">
        <v>25</v>
      </c>
      <c r="F114" s="82">
        <f t="shared" si="33"/>
        <v>4</v>
      </c>
      <c r="G114" s="94"/>
      <c r="H114" s="94"/>
      <c r="I114" s="94"/>
      <c r="J114" s="94">
        <f>$D114*$F114/100</f>
        <v>0</v>
      </c>
      <c r="K114" s="94">
        <f t="shared" ref="K114:S123" si="35">$D114*$F114/100</f>
        <v>0</v>
      </c>
      <c r="L114" s="94">
        <f t="shared" si="35"/>
        <v>0</v>
      </c>
      <c r="M114" s="94">
        <f t="shared" si="35"/>
        <v>0</v>
      </c>
      <c r="N114" s="94">
        <f t="shared" si="35"/>
        <v>0</v>
      </c>
      <c r="O114" s="94">
        <f t="shared" si="35"/>
        <v>0</v>
      </c>
      <c r="P114" s="94">
        <f t="shared" si="35"/>
        <v>0</v>
      </c>
      <c r="Q114" s="94">
        <f t="shared" si="35"/>
        <v>0</v>
      </c>
      <c r="R114" s="94">
        <f t="shared" si="35"/>
        <v>0</v>
      </c>
      <c r="S114" s="94">
        <f t="shared" si="35"/>
        <v>0</v>
      </c>
      <c r="T114" s="195"/>
      <c r="U114" s="195"/>
      <c r="V114" s="195"/>
      <c r="W114" s="195"/>
      <c r="X114" s="195"/>
      <c r="Y114" s="22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  <c r="BB114" s="195"/>
      <c r="BC114" s="195"/>
      <c r="BD114" s="195"/>
      <c r="BE114" s="195"/>
      <c r="BF114" s="195"/>
      <c r="BG114" s="195"/>
      <c r="BH114" s="195"/>
      <c r="BI114" s="195"/>
      <c r="BJ114" s="195"/>
      <c r="BK114" s="195"/>
      <c r="BL114" s="195"/>
      <c r="BM114" s="195"/>
      <c r="BN114" s="195"/>
      <c r="BO114" s="195"/>
      <c r="BP114" s="195"/>
      <c r="BQ114" s="195"/>
      <c r="BR114" s="195"/>
      <c r="BS114" s="195"/>
      <c r="BT114" s="195"/>
      <c r="BU114" s="195"/>
      <c r="BV114" s="195"/>
      <c r="BW114" s="195"/>
      <c r="BX114" s="195"/>
      <c r="BY114" s="195"/>
      <c r="BZ114" s="195"/>
      <c r="CA114" s="195"/>
      <c r="CB114" s="195"/>
      <c r="CC114" s="195"/>
      <c r="CD114" s="195"/>
      <c r="CE114" s="195"/>
      <c r="CF114" s="195"/>
      <c r="CG114" s="195"/>
      <c r="CH114" s="195"/>
      <c r="CI114" s="195"/>
      <c r="CJ114" s="195"/>
      <c r="CK114" s="195"/>
      <c r="CL114" s="195"/>
      <c r="CM114" s="195"/>
      <c r="CN114" s="195"/>
      <c r="CO114" s="195"/>
      <c r="CP114" s="195"/>
      <c r="CQ114" s="195"/>
      <c r="CR114" s="195"/>
      <c r="CS114" s="195"/>
      <c r="CT114" s="195"/>
      <c r="CU114" s="195"/>
      <c r="CV114" s="195"/>
      <c r="CW114" s="195"/>
      <c r="CX114" s="195"/>
      <c r="CY114" s="195"/>
      <c r="CZ114" s="195"/>
      <c r="DA114" s="195"/>
      <c r="DB114" s="195"/>
      <c r="DC114" s="195"/>
      <c r="DD114" s="195"/>
      <c r="DE114" s="195"/>
      <c r="DF114" s="195"/>
      <c r="DG114" s="195"/>
      <c r="DH114" s="195"/>
      <c r="DI114" s="195"/>
      <c r="DJ114" s="195"/>
      <c r="DK114" s="195"/>
      <c r="DL114" s="195"/>
      <c r="DM114" s="195"/>
      <c r="DN114" s="195"/>
      <c r="DO114" s="195"/>
      <c r="DP114" s="195"/>
      <c r="DQ114" s="195"/>
      <c r="DR114" s="195"/>
      <c r="DS114" s="195"/>
      <c r="DT114" s="195"/>
    </row>
    <row r="115" spans="3:124" ht="25.5" x14ac:dyDescent="0.2">
      <c r="C115" s="30" t="s">
        <v>392</v>
      </c>
      <c r="D115" s="94">
        <f>SUMIFS('Перечень инв.проектов ВО'!$P$3:$P$226,'Перечень инв.проектов ВО'!$AF$3:$AF$226,"оск",'Перечень инв.проектов ВО'!$B$3:$B$226,C$90)</f>
        <v>0</v>
      </c>
      <c r="E115" s="51">
        <v>25</v>
      </c>
      <c r="F115" s="82">
        <f t="shared" ref="F115:F123" si="36">ROUND(100/E115,2)</f>
        <v>4</v>
      </c>
      <c r="G115" s="94"/>
      <c r="H115" s="94"/>
      <c r="I115" s="94"/>
      <c r="J115" s="94"/>
      <c r="K115" s="94">
        <f t="shared" si="35"/>
        <v>0</v>
      </c>
      <c r="L115" s="94">
        <f t="shared" si="35"/>
        <v>0</v>
      </c>
      <c r="M115" s="94">
        <f t="shared" si="35"/>
        <v>0</v>
      </c>
      <c r="N115" s="94">
        <f t="shared" si="35"/>
        <v>0</v>
      </c>
      <c r="O115" s="94">
        <f t="shared" si="35"/>
        <v>0</v>
      </c>
      <c r="P115" s="94">
        <f t="shared" si="35"/>
        <v>0</v>
      </c>
      <c r="Q115" s="94">
        <f t="shared" si="35"/>
        <v>0</v>
      </c>
      <c r="R115" s="94">
        <f t="shared" si="35"/>
        <v>0</v>
      </c>
      <c r="S115" s="94">
        <f t="shared" si="35"/>
        <v>0</v>
      </c>
      <c r="T115" s="195"/>
      <c r="U115" s="195"/>
      <c r="V115" s="195"/>
      <c r="W115" s="195"/>
      <c r="X115" s="195"/>
      <c r="Y115" s="22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  <c r="BB115" s="195"/>
      <c r="BC115" s="195"/>
      <c r="BD115" s="195"/>
      <c r="BE115" s="195"/>
      <c r="BF115" s="195"/>
      <c r="BG115" s="195"/>
      <c r="BH115" s="195"/>
      <c r="BI115" s="195"/>
      <c r="BJ115" s="195"/>
      <c r="BK115" s="195"/>
      <c r="BL115" s="195"/>
      <c r="BM115" s="195"/>
      <c r="BN115" s="195"/>
      <c r="BO115" s="195"/>
      <c r="BP115" s="195"/>
      <c r="BQ115" s="195"/>
      <c r="BR115" s="195"/>
      <c r="BS115" s="195"/>
      <c r="BT115" s="195"/>
      <c r="BU115" s="195"/>
      <c r="BV115" s="195"/>
      <c r="BW115" s="195"/>
      <c r="BX115" s="195"/>
      <c r="BY115" s="195"/>
      <c r="BZ115" s="195"/>
      <c r="CA115" s="195"/>
      <c r="CB115" s="195"/>
      <c r="CC115" s="195"/>
      <c r="CD115" s="195"/>
      <c r="CE115" s="195"/>
      <c r="CF115" s="195"/>
      <c r="CG115" s="195"/>
      <c r="CH115" s="195"/>
      <c r="CI115" s="195"/>
      <c r="CJ115" s="195"/>
      <c r="CK115" s="195"/>
      <c r="CL115" s="195"/>
      <c r="CM115" s="195"/>
      <c r="CN115" s="195"/>
      <c r="CO115" s="195"/>
      <c r="CP115" s="195"/>
      <c r="CQ115" s="195"/>
      <c r="CR115" s="195"/>
      <c r="CS115" s="195"/>
      <c r="CT115" s="195"/>
      <c r="CU115" s="195"/>
      <c r="CV115" s="195"/>
      <c r="CW115" s="195"/>
      <c r="CX115" s="195"/>
      <c r="CY115" s="195"/>
      <c r="CZ115" s="195"/>
      <c r="DA115" s="195"/>
      <c r="DB115" s="195"/>
      <c r="DC115" s="195"/>
      <c r="DD115" s="195"/>
      <c r="DE115" s="195"/>
      <c r="DF115" s="195"/>
      <c r="DG115" s="195"/>
      <c r="DH115" s="195"/>
      <c r="DI115" s="195"/>
      <c r="DJ115" s="195"/>
      <c r="DK115" s="195"/>
      <c r="DL115" s="195"/>
      <c r="DM115" s="195"/>
      <c r="DN115" s="195"/>
      <c r="DO115" s="195"/>
      <c r="DP115" s="195"/>
      <c r="DQ115" s="195"/>
      <c r="DR115" s="195"/>
      <c r="DS115" s="195"/>
      <c r="DT115" s="195"/>
    </row>
    <row r="116" spans="3:124" ht="25.5" x14ac:dyDescent="0.2">
      <c r="C116" s="30" t="s">
        <v>393</v>
      </c>
      <c r="D116" s="94">
        <f>SUMIFS('Перечень инв.проектов ВО'!$Q$3:$Q$226,'Перечень инв.проектов ВО'!$AF$3:$AF$226,"оск",'Перечень инв.проектов ВО'!$B$3:$B$226,C$90)</f>
        <v>0</v>
      </c>
      <c r="E116" s="51">
        <v>25</v>
      </c>
      <c r="F116" s="82">
        <f t="shared" si="36"/>
        <v>4</v>
      </c>
      <c r="G116" s="94"/>
      <c r="H116" s="94"/>
      <c r="I116" s="94"/>
      <c r="J116" s="94"/>
      <c r="K116" s="94"/>
      <c r="L116" s="94">
        <f t="shared" si="35"/>
        <v>0</v>
      </c>
      <c r="M116" s="94">
        <f t="shared" si="35"/>
        <v>0</v>
      </c>
      <c r="N116" s="94">
        <f t="shared" si="35"/>
        <v>0</v>
      </c>
      <c r="O116" s="94">
        <f t="shared" si="35"/>
        <v>0</v>
      </c>
      <c r="P116" s="94">
        <f t="shared" si="35"/>
        <v>0</v>
      </c>
      <c r="Q116" s="94">
        <f t="shared" si="35"/>
        <v>0</v>
      </c>
      <c r="R116" s="94">
        <f t="shared" si="35"/>
        <v>0</v>
      </c>
      <c r="S116" s="94">
        <f t="shared" si="35"/>
        <v>0</v>
      </c>
      <c r="T116" s="195"/>
      <c r="U116" s="195"/>
      <c r="V116" s="195"/>
      <c r="W116" s="195"/>
      <c r="X116" s="195"/>
      <c r="Y116" s="22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  <c r="BB116" s="195"/>
      <c r="BC116" s="195"/>
      <c r="BD116" s="195"/>
      <c r="BE116" s="195"/>
      <c r="BF116" s="195"/>
      <c r="BG116" s="195"/>
      <c r="BH116" s="195"/>
      <c r="BI116" s="195"/>
      <c r="BJ116" s="195"/>
      <c r="BK116" s="195"/>
      <c r="BL116" s="195"/>
      <c r="BM116" s="195"/>
      <c r="BN116" s="195"/>
      <c r="BO116" s="195"/>
      <c r="BP116" s="195"/>
      <c r="BQ116" s="195"/>
      <c r="BR116" s="195"/>
      <c r="BS116" s="195"/>
      <c r="BT116" s="195"/>
      <c r="BU116" s="195"/>
      <c r="BV116" s="195"/>
      <c r="BW116" s="195"/>
      <c r="BX116" s="195"/>
      <c r="BY116" s="195"/>
      <c r="BZ116" s="195"/>
      <c r="CA116" s="195"/>
      <c r="CB116" s="195"/>
      <c r="CC116" s="195"/>
      <c r="CD116" s="195"/>
      <c r="CE116" s="195"/>
      <c r="CF116" s="195"/>
      <c r="CG116" s="195"/>
      <c r="CH116" s="195"/>
      <c r="CI116" s="195"/>
      <c r="CJ116" s="195"/>
      <c r="CK116" s="195"/>
      <c r="CL116" s="195"/>
      <c r="CM116" s="195"/>
      <c r="CN116" s="195"/>
      <c r="CO116" s="195"/>
      <c r="CP116" s="195"/>
      <c r="CQ116" s="195"/>
      <c r="CR116" s="195"/>
      <c r="CS116" s="195"/>
      <c r="CT116" s="195"/>
      <c r="CU116" s="195"/>
      <c r="CV116" s="195"/>
      <c r="CW116" s="195"/>
      <c r="CX116" s="195"/>
      <c r="CY116" s="195"/>
      <c r="CZ116" s="195"/>
      <c r="DA116" s="195"/>
      <c r="DB116" s="195"/>
      <c r="DC116" s="195"/>
      <c r="DD116" s="195"/>
      <c r="DE116" s="195"/>
      <c r="DF116" s="195"/>
      <c r="DG116" s="195"/>
      <c r="DH116" s="195"/>
      <c r="DI116" s="195"/>
      <c r="DJ116" s="195"/>
      <c r="DK116" s="195"/>
      <c r="DL116" s="195"/>
      <c r="DM116" s="195"/>
      <c r="DN116" s="195"/>
      <c r="DO116" s="195"/>
      <c r="DP116" s="195"/>
      <c r="DQ116" s="195"/>
      <c r="DR116" s="195"/>
      <c r="DS116" s="195"/>
      <c r="DT116" s="195"/>
    </row>
    <row r="117" spans="3:124" ht="25.5" x14ac:dyDescent="0.2">
      <c r="C117" s="30" t="s">
        <v>394</v>
      </c>
      <c r="D117" s="94">
        <f>SUMIFS('Перечень инв.проектов ВО'!$R$3:$R$226,'Перечень инв.проектов ВО'!$AF$3:$AF$226,"оск",'Перечень инв.проектов ВО'!$B$3:$B$226,C$90)</f>
        <v>0</v>
      </c>
      <c r="E117" s="51">
        <v>25</v>
      </c>
      <c r="F117" s="82">
        <f t="shared" si="36"/>
        <v>4</v>
      </c>
      <c r="G117" s="94"/>
      <c r="H117" s="94"/>
      <c r="I117" s="94"/>
      <c r="J117" s="94"/>
      <c r="K117" s="94"/>
      <c r="L117" s="94"/>
      <c r="M117" s="94">
        <f t="shared" si="35"/>
        <v>0</v>
      </c>
      <c r="N117" s="94">
        <f t="shared" si="35"/>
        <v>0</v>
      </c>
      <c r="O117" s="94">
        <f t="shared" si="35"/>
        <v>0</v>
      </c>
      <c r="P117" s="94">
        <f t="shared" si="35"/>
        <v>0</v>
      </c>
      <c r="Q117" s="94">
        <f t="shared" si="35"/>
        <v>0</v>
      </c>
      <c r="R117" s="94">
        <f t="shared" si="35"/>
        <v>0</v>
      </c>
      <c r="S117" s="94">
        <f t="shared" si="35"/>
        <v>0</v>
      </c>
      <c r="T117" s="195"/>
      <c r="U117" s="195"/>
      <c r="V117" s="195"/>
      <c r="W117" s="195"/>
      <c r="X117" s="195"/>
      <c r="Y117" s="22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  <c r="BB117" s="195"/>
      <c r="BC117" s="195"/>
      <c r="BD117" s="195"/>
      <c r="BE117" s="195"/>
      <c r="BF117" s="195"/>
      <c r="BG117" s="195"/>
      <c r="BH117" s="195"/>
      <c r="BI117" s="195"/>
      <c r="BJ117" s="195"/>
      <c r="BK117" s="195"/>
      <c r="BL117" s="195"/>
      <c r="BM117" s="195"/>
      <c r="BN117" s="195"/>
      <c r="BO117" s="195"/>
      <c r="BP117" s="195"/>
      <c r="BQ117" s="195"/>
      <c r="BR117" s="195"/>
      <c r="BS117" s="195"/>
      <c r="BT117" s="195"/>
      <c r="BU117" s="195"/>
      <c r="BV117" s="195"/>
      <c r="BW117" s="195"/>
      <c r="BX117" s="195"/>
      <c r="BY117" s="195"/>
      <c r="BZ117" s="195"/>
      <c r="CA117" s="195"/>
      <c r="CB117" s="195"/>
      <c r="CC117" s="195"/>
      <c r="CD117" s="195"/>
      <c r="CE117" s="195"/>
      <c r="CF117" s="195"/>
      <c r="CG117" s="195"/>
      <c r="CH117" s="195"/>
      <c r="CI117" s="195"/>
      <c r="CJ117" s="195"/>
      <c r="CK117" s="195"/>
      <c r="CL117" s="195"/>
      <c r="CM117" s="195"/>
      <c r="CN117" s="195"/>
      <c r="CO117" s="195"/>
      <c r="CP117" s="195"/>
      <c r="CQ117" s="195"/>
      <c r="CR117" s="195"/>
      <c r="CS117" s="195"/>
      <c r="CT117" s="195"/>
      <c r="CU117" s="195"/>
      <c r="CV117" s="195"/>
      <c r="CW117" s="195"/>
      <c r="CX117" s="195"/>
      <c r="CY117" s="195"/>
      <c r="CZ117" s="195"/>
      <c r="DA117" s="195"/>
      <c r="DB117" s="195"/>
      <c r="DC117" s="195"/>
      <c r="DD117" s="195"/>
      <c r="DE117" s="195"/>
      <c r="DF117" s="195"/>
      <c r="DG117" s="195"/>
      <c r="DH117" s="195"/>
      <c r="DI117" s="195"/>
      <c r="DJ117" s="195"/>
      <c r="DK117" s="195"/>
      <c r="DL117" s="195"/>
      <c r="DM117" s="195"/>
      <c r="DN117" s="195"/>
      <c r="DO117" s="195"/>
      <c r="DP117" s="195"/>
      <c r="DQ117" s="195"/>
      <c r="DR117" s="195"/>
      <c r="DS117" s="195"/>
      <c r="DT117" s="195"/>
    </row>
    <row r="118" spans="3:124" ht="25.5" x14ac:dyDescent="0.2">
      <c r="C118" s="30" t="s">
        <v>395</v>
      </c>
      <c r="D118" s="94">
        <f>SUMIFS('Перечень инв.проектов ВО'!$S$3:$S$226,'Перечень инв.проектов ВО'!$AF$3:$AF$226,"оск",'Перечень инв.проектов ВО'!$B$3:$B$226,C$90)</f>
        <v>0</v>
      </c>
      <c r="E118" s="51">
        <v>25</v>
      </c>
      <c r="F118" s="82">
        <f t="shared" si="36"/>
        <v>4</v>
      </c>
      <c r="G118" s="94"/>
      <c r="H118" s="94"/>
      <c r="I118" s="94"/>
      <c r="J118" s="94"/>
      <c r="K118" s="94"/>
      <c r="L118" s="94"/>
      <c r="M118" s="94"/>
      <c r="N118" s="94">
        <f t="shared" si="35"/>
        <v>0</v>
      </c>
      <c r="O118" s="94">
        <f t="shared" si="35"/>
        <v>0</v>
      </c>
      <c r="P118" s="94">
        <f t="shared" si="35"/>
        <v>0</v>
      </c>
      <c r="Q118" s="94">
        <f t="shared" si="35"/>
        <v>0</v>
      </c>
      <c r="R118" s="94">
        <f t="shared" si="35"/>
        <v>0</v>
      </c>
      <c r="S118" s="94">
        <f t="shared" si="35"/>
        <v>0</v>
      </c>
      <c r="T118" s="195"/>
      <c r="U118" s="195"/>
      <c r="V118" s="195"/>
      <c r="W118" s="195"/>
      <c r="X118" s="195"/>
      <c r="Y118" s="22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  <c r="BB118" s="195"/>
      <c r="BC118" s="195"/>
      <c r="BD118" s="195"/>
      <c r="BE118" s="195"/>
      <c r="BF118" s="195"/>
      <c r="BG118" s="195"/>
      <c r="BH118" s="195"/>
      <c r="BI118" s="195"/>
      <c r="BJ118" s="195"/>
      <c r="BK118" s="195"/>
      <c r="BL118" s="195"/>
      <c r="BM118" s="195"/>
      <c r="BN118" s="195"/>
      <c r="BO118" s="195"/>
      <c r="BP118" s="195"/>
      <c r="BQ118" s="195"/>
      <c r="BR118" s="195"/>
      <c r="BS118" s="195"/>
      <c r="BT118" s="195"/>
      <c r="BU118" s="195"/>
      <c r="BV118" s="195"/>
      <c r="BW118" s="195"/>
      <c r="BX118" s="195"/>
      <c r="BY118" s="195"/>
      <c r="BZ118" s="195"/>
      <c r="CA118" s="195"/>
      <c r="CB118" s="195"/>
      <c r="CC118" s="195"/>
      <c r="CD118" s="195"/>
      <c r="CE118" s="195"/>
      <c r="CF118" s="195"/>
      <c r="CG118" s="195"/>
      <c r="CH118" s="195"/>
      <c r="CI118" s="195"/>
      <c r="CJ118" s="195"/>
      <c r="CK118" s="195"/>
      <c r="CL118" s="195"/>
      <c r="CM118" s="195"/>
      <c r="CN118" s="195"/>
      <c r="CO118" s="195"/>
      <c r="CP118" s="195"/>
      <c r="CQ118" s="195"/>
      <c r="CR118" s="195"/>
      <c r="CS118" s="195"/>
      <c r="CT118" s="195"/>
      <c r="CU118" s="195"/>
      <c r="CV118" s="195"/>
      <c r="CW118" s="195"/>
      <c r="CX118" s="195"/>
      <c r="CY118" s="195"/>
      <c r="CZ118" s="195"/>
      <c r="DA118" s="195"/>
      <c r="DB118" s="195"/>
      <c r="DC118" s="195"/>
      <c r="DD118" s="195"/>
      <c r="DE118" s="195"/>
      <c r="DF118" s="195"/>
      <c r="DG118" s="195"/>
      <c r="DH118" s="195"/>
      <c r="DI118" s="195"/>
      <c r="DJ118" s="195"/>
      <c r="DK118" s="195"/>
      <c r="DL118" s="195"/>
      <c r="DM118" s="195"/>
      <c r="DN118" s="195"/>
      <c r="DO118" s="195"/>
      <c r="DP118" s="195"/>
      <c r="DQ118" s="195"/>
      <c r="DR118" s="195"/>
      <c r="DS118" s="195"/>
      <c r="DT118" s="195"/>
    </row>
    <row r="119" spans="3:124" ht="25.5" x14ac:dyDescent="0.2">
      <c r="C119" s="30" t="s">
        <v>396</v>
      </c>
      <c r="D119" s="94">
        <f>SUMIFS('Перечень инв.проектов ВО'!$T$3:$T$226,'Перечень инв.проектов ВО'!$AF$3:$AF$226,"оск",'Перечень инв.проектов ВО'!$B$3:$B$226,C$90)</f>
        <v>0</v>
      </c>
      <c r="E119" s="51">
        <v>25</v>
      </c>
      <c r="F119" s="82">
        <f t="shared" si="36"/>
        <v>4</v>
      </c>
      <c r="G119" s="94"/>
      <c r="H119" s="94"/>
      <c r="I119" s="94"/>
      <c r="J119" s="94"/>
      <c r="K119" s="94"/>
      <c r="L119" s="94"/>
      <c r="M119" s="94"/>
      <c r="N119" s="94"/>
      <c r="O119" s="94">
        <f t="shared" si="35"/>
        <v>0</v>
      </c>
      <c r="P119" s="94">
        <f t="shared" si="35"/>
        <v>0</v>
      </c>
      <c r="Q119" s="94">
        <f t="shared" si="35"/>
        <v>0</v>
      </c>
      <c r="R119" s="94">
        <f t="shared" si="35"/>
        <v>0</v>
      </c>
      <c r="S119" s="94">
        <f t="shared" si="35"/>
        <v>0</v>
      </c>
      <c r="T119" s="195"/>
      <c r="U119" s="195"/>
      <c r="V119" s="195"/>
      <c r="W119" s="195"/>
      <c r="X119" s="195"/>
      <c r="Y119" s="22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  <c r="BB119" s="195"/>
      <c r="BC119" s="195"/>
      <c r="BD119" s="195"/>
      <c r="BE119" s="195"/>
      <c r="BF119" s="195"/>
      <c r="BG119" s="195"/>
      <c r="BH119" s="195"/>
      <c r="BI119" s="195"/>
      <c r="BJ119" s="195"/>
      <c r="BK119" s="195"/>
      <c r="BL119" s="195"/>
      <c r="BM119" s="195"/>
      <c r="BN119" s="195"/>
      <c r="BO119" s="195"/>
      <c r="BP119" s="195"/>
      <c r="BQ119" s="195"/>
      <c r="BR119" s="195"/>
      <c r="BS119" s="195"/>
      <c r="BT119" s="195"/>
      <c r="BU119" s="195"/>
      <c r="BV119" s="195"/>
      <c r="BW119" s="195"/>
      <c r="BX119" s="195"/>
      <c r="BY119" s="195"/>
      <c r="BZ119" s="195"/>
      <c r="CA119" s="195"/>
      <c r="CB119" s="195"/>
      <c r="CC119" s="195"/>
      <c r="CD119" s="195"/>
      <c r="CE119" s="195"/>
      <c r="CF119" s="195"/>
      <c r="CG119" s="195"/>
      <c r="CH119" s="195"/>
      <c r="CI119" s="195"/>
      <c r="CJ119" s="195"/>
      <c r="CK119" s="195"/>
      <c r="CL119" s="195"/>
      <c r="CM119" s="195"/>
      <c r="CN119" s="195"/>
      <c r="CO119" s="195"/>
      <c r="CP119" s="195"/>
      <c r="CQ119" s="195"/>
      <c r="CR119" s="195"/>
      <c r="CS119" s="195"/>
      <c r="CT119" s="195"/>
      <c r="CU119" s="195"/>
      <c r="CV119" s="195"/>
      <c r="CW119" s="195"/>
      <c r="CX119" s="195"/>
      <c r="CY119" s="195"/>
      <c r="CZ119" s="195"/>
      <c r="DA119" s="195"/>
      <c r="DB119" s="195"/>
      <c r="DC119" s="195"/>
      <c r="DD119" s="195"/>
      <c r="DE119" s="195"/>
      <c r="DF119" s="195"/>
      <c r="DG119" s="195"/>
      <c r="DH119" s="195"/>
      <c r="DI119" s="195"/>
      <c r="DJ119" s="195"/>
      <c r="DK119" s="195"/>
      <c r="DL119" s="195"/>
      <c r="DM119" s="195"/>
      <c r="DN119" s="195"/>
      <c r="DO119" s="195"/>
      <c r="DP119" s="195"/>
      <c r="DQ119" s="195"/>
      <c r="DR119" s="195"/>
      <c r="DS119" s="195"/>
      <c r="DT119" s="195"/>
    </row>
    <row r="120" spans="3:124" ht="25.5" x14ac:dyDescent="0.2">
      <c r="C120" s="30" t="s">
        <v>397</v>
      </c>
      <c r="D120" s="94">
        <f>SUMIFS('Перечень инв.проектов ВО'!$U$3:$U$226,'Перечень инв.проектов ВО'!$AF$3:$AF$226,"оск",'Перечень инв.проектов ВО'!$B$3:$B$226,C$90)</f>
        <v>0</v>
      </c>
      <c r="E120" s="51">
        <v>25</v>
      </c>
      <c r="F120" s="82">
        <f t="shared" si="36"/>
        <v>4</v>
      </c>
      <c r="G120" s="94"/>
      <c r="H120" s="94"/>
      <c r="I120" s="94"/>
      <c r="J120" s="94"/>
      <c r="K120" s="94"/>
      <c r="L120" s="94"/>
      <c r="M120" s="94"/>
      <c r="N120" s="94"/>
      <c r="O120" s="94"/>
      <c r="P120" s="94">
        <f t="shared" si="35"/>
        <v>0</v>
      </c>
      <c r="Q120" s="94">
        <f t="shared" si="35"/>
        <v>0</v>
      </c>
      <c r="R120" s="94">
        <f t="shared" si="35"/>
        <v>0</v>
      </c>
      <c r="S120" s="94">
        <f t="shared" si="35"/>
        <v>0</v>
      </c>
      <c r="T120" s="195"/>
      <c r="U120" s="195"/>
      <c r="V120" s="195"/>
      <c r="W120" s="195"/>
      <c r="X120" s="195"/>
      <c r="Y120" s="22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  <c r="BB120" s="195"/>
      <c r="BC120" s="195"/>
      <c r="BD120" s="195"/>
      <c r="BE120" s="195"/>
      <c r="BF120" s="195"/>
      <c r="BG120" s="195"/>
      <c r="BH120" s="195"/>
      <c r="BI120" s="195"/>
      <c r="BJ120" s="195"/>
      <c r="BK120" s="195"/>
      <c r="BL120" s="195"/>
      <c r="BM120" s="195"/>
      <c r="BN120" s="195"/>
      <c r="BO120" s="195"/>
      <c r="BP120" s="195"/>
      <c r="BQ120" s="195"/>
      <c r="BR120" s="195"/>
      <c r="BS120" s="195"/>
      <c r="BT120" s="195"/>
      <c r="BU120" s="195"/>
      <c r="BV120" s="195"/>
      <c r="BW120" s="195"/>
      <c r="BX120" s="195"/>
      <c r="BY120" s="195"/>
      <c r="BZ120" s="195"/>
      <c r="CA120" s="195"/>
      <c r="CB120" s="195"/>
      <c r="CC120" s="195"/>
      <c r="CD120" s="195"/>
      <c r="CE120" s="195"/>
      <c r="CF120" s="195"/>
      <c r="CG120" s="195"/>
      <c r="CH120" s="195"/>
      <c r="CI120" s="195"/>
      <c r="CJ120" s="195"/>
      <c r="CK120" s="195"/>
      <c r="CL120" s="195"/>
      <c r="CM120" s="195"/>
      <c r="CN120" s="195"/>
      <c r="CO120" s="195"/>
      <c r="CP120" s="195"/>
      <c r="CQ120" s="195"/>
      <c r="CR120" s="195"/>
      <c r="CS120" s="195"/>
      <c r="CT120" s="195"/>
      <c r="CU120" s="195"/>
      <c r="CV120" s="195"/>
      <c r="CW120" s="195"/>
      <c r="CX120" s="195"/>
      <c r="CY120" s="195"/>
      <c r="CZ120" s="195"/>
      <c r="DA120" s="195"/>
      <c r="DB120" s="195"/>
      <c r="DC120" s="195"/>
      <c r="DD120" s="195"/>
      <c r="DE120" s="195"/>
      <c r="DF120" s="195"/>
      <c r="DG120" s="195"/>
      <c r="DH120" s="195"/>
      <c r="DI120" s="195"/>
      <c r="DJ120" s="195"/>
      <c r="DK120" s="195"/>
      <c r="DL120" s="195"/>
      <c r="DM120" s="195"/>
      <c r="DN120" s="195"/>
      <c r="DO120" s="195"/>
      <c r="DP120" s="195"/>
      <c r="DQ120" s="195"/>
      <c r="DR120" s="195"/>
      <c r="DS120" s="195"/>
      <c r="DT120" s="195"/>
    </row>
    <row r="121" spans="3:124" ht="25.5" x14ac:dyDescent="0.2">
      <c r="C121" s="30" t="s">
        <v>398</v>
      </c>
      <c r="D121" s="94">
        <f>SUMIFS('Перечень инв.проектов ВО'!$V$3:$V$226,'Перечень инв.проектов ВО'!$AF$3:$AF$226,"оск",'Перечень инв.проектов ВО'!$B$3:$B$226,C$90)</f>
        <v>70247.070150373591</v>
      </c>
      <c r="E121" s="51">
        <v>25</v>
      </c>
      <c r="F121" s="82">
        <f t="shared" si="36"/>
        <v>4</v>
      </c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>
        <f t="shared" si="35"/>
        <v>2809.8828060149435</v>
      </c>
      <c r="R121" s="94">
        <f t="shared" si="35"/>
        <v>2809.8828060149435</v>
      </c>
      <c r="S121" s="94">
        <f t="shared" si="35"/>
        <v>2809.8828060149435</v>
      </c>
      <c r="T121" s="195"/>
      <c r="U121" s="195"/>
      <c r="V121" s="195"/>
      <c r="W121" s="195"/>
      <c r="X121" s="195"/>
      <c r="Y121" s="22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195"/>
      <c r="BJ121" s="195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195"/>
      <c r="DF121" s="195"/>
      <c r="DG121" s="195"/>
      <c r="DH121" s="195"/>
      <c r="DI121" s="195"/>
      <c r="DJ121" s="195"/>
      <c r="DK121" s="195"/>
      <c r="DL121" s="195"/>
      <c r="DM121" s="195"/>
      <c r="DN121" s="195"/>
      <c r="DO121" s="195"/>
      <c r="DP121" s="195"/>
      <c r="DQ121" s="195"/>
      <c r="DR121" s="195"/>
      <c r="DS121" s="195"/>
      <c r="DT121" s="195"/>
    </row>
    <row r="122" spans="3:124" ht="25.5" x14ac:dyDescent="0.2">
      <c r="C122" s="30" t="s">
        <v>399</v>
      </c>
      <c r="D122" s="94">
        <f>SUMIFS('Перечень инв.проектов ВО'!$W$3:$W$226,'Перечень инв.проектов ВО'!$AF$3:$AF$226,"оск",'Перечень инв.проектов ВО'!$B$3:$B$226,C$90)</f>
        <v>73056.95295638853</v>
      </c>
      <c r="E122" s="51">
        <v>25</v>
      </c>
      <c r="F122" s="82">
        <f t="shared" si="36"/>
        <v>4</v>
      </c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>
        <f t="shared" si="35"/>
        <v>2922.2781182555414</v>
      </c>
      <c r="S122" s="94">
        <f t="shared" si="35"/>
        <v>2922.2781182555414</v>
      </c>
      <c r="T122" s="195"/>
      <c r="U122" s="195"/>
      <c r="V122" s="195"/>
      <c r="W122" s="195"/>
      <c r="X122" s="195"/>
      <c r="Y122" s="22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5"/>
      <c r="BE122" s="195"/>
      <c r="BF122" s="195"/>
      <c r="BG122" s="195"/>
      <c r="BH122" s="195"/>
      <c r="BI122" s="195"/>
      <c r="BJ122" s="195"/>
      <c r="BK122" s="195"/>
      <c r="BL122" s="195"/>
      <c r="BM122" s="195"/>
      <c r="BN122" s="195"/>
      <c r="BO122" s="195"/>
      <c r="BP122" s="195"/>
      <c r="BQ122" s="195"/>
      <c r="BR122" s="195"/>
      <c r="BS122" s="195"/>
      <c r="BT122" s="195"/>
      <c r="BU122" s="195"/>
      <c r="BV122" s="195"/>
      <c r="BW122" s="195"/>
      <c r="BX122" s="195"/>
      <c r="BY122" s="195"/>
      <c r="BZ122" s="195"/>
      <c r="CA122" s="195"/>
      <c r="CB122" s="195"/>
      <c r="CC122" s="195"/>
      <c r="CD122" s="195"/>
      <c r="CE122" s="195"/>
      <c r="CF122" s="195"/>
      <c r="CG122" s="195"/>
      <c r="CH122" s="195"/>
      <c r="CI122" s="195"/>
      <c r="CJ122" s="195"/>
      <c r="CK122" s="195"/>
      <c r="CL122" s="195"/>
      <c r="CM122" s="195"/>
      <c r="CN122" s="195"/>
      <c r="CO122" s="195"/>
      <c r="CP122" s="195"/>
      <c r="CQ122" s="195"/>
      <c r="CR122" s="195"/>
      <c r="CS122" s="195"/>
      <c r="CT122" s="195"/>
      <c r="CU122" s="195"/>
      <c r="CV122" s="195"/>
      <c r="CW122" s="195"/>
      <c r="CX122" s="195"/>
      <c r="CY122" s="195"/>
      <c r="CZ122" s="195"/>
      <c r="DA122" s="195"/>
      <c r="DB122" s="195"/>
      <c r="DC122" s="195"/>
      <c r="DD122" s="195"/>
      <c r="DE122" s="195"/>
      <c r="DF122" s="195"/>
      <c r="DG122" s="195"/>
      <c r="DH122" s="195"/>
      <c r="DI122" s="195"/>
      <c r="DJ122" s="195"/>
      <c r="DK122" s="195"/>
      <c r="DL122" s="195"/>
      <c r="DM122" s="195"/>
      <c r="DN122" s="195"/>
      <c r="DO122" s="195"/>
      <c r="DP122" s="195"/>
      <c r="DQ122" s="195"/>
      <c r="DR122" s="195"/>
      <c r="DS122" s="195"/>
      <c r="DT122" s="195"/>
    </row>
    <row r="123" spans="3:124" ht="25.5" x14ac:dyDescent="0.2">
      <c r="C123" s="30" t="s">
        <v>400</v>
      </c>
      <c r="D123" s="94">
        <f>SUMIFS('Перечень инв.проектов ВО'!$X$3:$X$226,'Перечень инв.проектов ВО'!$AF$3:$AF$226,"оск",'Перечень инв.проектов ВО'!$B$3:$B$226,C$90)</f>
        <v>0</v>
      </c>
      <c r="E123" s="51">
        <v>25</v>
      </c>
      <c r="F123" s="82">
        <f t="shared" si="36"/>
        <v>4</v>
      </c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>
        <f t="shared" si="35"/>
        <v>0</v>
      </c>
      <c r="T123" s="195"/>
      <c r="U123" s="195"/>
      <c r="V123" s="195"/>
      <c r="W123" s="195"/>
      <c r="X123" s="195"/>
      <c r="Y123" s="22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5"/>
      <c r="BE123" s="195"/>
      <c r="BF123" s="195"/>
      <c r="BG123" s="195"/>
      <c r="BH123" s="195"/>
      <c r="BI123" s="195"/>
      <c r="BJ123" s="195"/>
      <c r="BK123" s="195"/>
      <c r="BL123" s="195"/>
      <c r="BM123" s="195"/>
      <c r="BN123" s="195"/>
      <c r="BO123" s="195"/>
      <c r="BP123" s="195"/>
      <c r="BQ123" s="195"/>
      <c r="BR123" s="195"/>
      <c r="BS123" s="195"/>
      <c r="BT123" s="195"/>
      <c r="BU123" s="195"/>
      <c r="BV123" s="195"/>
      <c r="BW123" s="195"/>
      <c r="BX123" s="195"/>
      <c r="BY123" s="195"/>
      <c r="BZ123" s="195"/>
      <c r="CA123" s="195"/>
      <c r="CB123" s="195"/>
      <c r="CC123" s="195"/>
      <c r="CD123" s="195"/>
      <c r="CE123" s="195"/>
      <c r="CF123" s="195"/>
      <c r="CG123" s="195"/>
      <c r="CH123" s="195"/>
      <c r="CI123" s="195"/>
      <c r="CJ123" s="195"/>
      <c r="CK123" s="195"/>
      <c r="CL123" s="195"/>
      <c r="CM123" s="195"/>
      <c r="CN123" s="195"/>
      <c r="CO123" s="195"/>
      <c r="CP123" s="195"/>
      <c r="CQ123" s="195"/>
      <c r="CR123" s="195"/>
      <c r="CS123" s="195"/>
      <c r="CT123" s="195"/>
      <c r="CU123" s="195"/>
      <c r="CV123" s="195"/>
      <c r="CW123" s="195"/>
      <c r="CX123" s="195"/>
      <c r="CY123" s="195"/>
      <c r="CZ123" s="195"/>
      <c r="DA123" s="195"/>
      <c r="DB123" s="195"/>
      <c r="DC123" s="195"/>
      <c r="DD123" s="195"/>
      <c r="DE123" s="195"/>
      <c r="DF123" s="195"/>
      <c r="DG123" s="195"/>
      <c r="DH123" s="195"/>
      <c r="DI123" s="195"/>
      <c r="DJ123" s="195"/>
      <c r="DK123" s="195"/>
      <c r="DL123" s="195"/>
      <c r="DM123" s="195"/>
      <c r="DN123" s="195"/>
      <c r="DO123" s="195"/>
      <c r="DP123" s="195"/>
      <c r="DQ123" s="195"/>
      <c r="DR123" s="195"/>
      <c r="DS123" s="195"/>
      <c r="DT123" s="195"/>
    </row>
    <row r="124" spans="3:124" s="98" customFormat="1" ht="12.75" customHeight="1" x14ac:dyDescent="0.2">
      <c r="C124" s="407" t="s">
        <v>278</v>
      </c>
      <c r="D124" s="407"/>
      <c r="E124" s="407"/>
      <c r="F124" s="407"/>
      <c r="G124" s="97">
        <f>SUM(G111:G123)</f>
        <v>0</v>
      </c>
      <c r="H124" s="97">
        <f t="shared" ref="H124:S124" si="37">SUM(H111:H123)</f>
        <v>0</v>
      </c>
      <c r="I124" s="97">
        <f t="shared" si="37"/>
        <v>24000</v>
      </c>
      <c r="J124" s="97">
        <f t="shared" si="37"/>
        <v>24000</v>
      </c>
      <c r="K124" s="97">
        <f t="shared" si="37"/>
        <v>24000</v>
      </c>
      <c r="L124" s="97">
        <f t="shared" si="37"/>
        <v>24000</v>
      </c>
      <c r="M124" s="97">
        <f t="shared" si="37"/>
        <v>24000</v>
      </c>
      <c r="N124" s="97">
        <f t="shared" si="37"/>
        <v>24000</v>
      </c>
      <c r="O124" s="97">
        <f t="shared" si="37"/>
        <v>24000</v>
      </c>
      <c r="P124" s="97">
        <f t="shared" si="37"/>
        <v>24000</v>
      </c>
      <c r="Q124" s="97">
        <f t="shared" si="37"/>
        <v>26809.882806014943</v>
      </c>
      <c r="R124" s="97">
        <f t="shared" si="37"/>
        <v>29732.160924270484</v>
      </c>
      <c r="S124" s="97">
        <f t="shared" si="37"/>
        <v>29732.160924270484</v>
      </c>
      <c r="T124" s="195"/>
      <c r="U124" s="195"/>
      <c r="V124" s="195"/>
      <c r="W124" s="195"/>
      <c r="X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5"/>
      <c r="BE124" s="195"/>
      <c r="BF124" s="195"/>
      <c r="BG124" s="195"/>
      <c r="BH124" s="195"/>
      <c r="BI124" s="195"/>
      <c r="BJ124" s="195"/>
      <c r="BK124" s="195"/>
      <c r="BL124" s="195"/>
      <c r="BM124" s="195"/>
      <c r="BN124" s="195"/>
      <c r="BO124" s="195"/>
      <c r="BP124" s="195"/>
      <c r="BQ124" s="195"/>
      <c r="BR124" s="195"/>
      <c r="BS124" s="195"/>
      <c r="BT124" s="195"/>
      <c r="BU124" s="195"/>
      <c r="BV124" s="195"/>
      <c r="BW124" s="195"/>
      <c r="BX124" s="195"/>
      <c r="BY124" s="195"/>
      <c r="BZ124" s="195"/>
      <c r="CA124" s="195"/>
      <c r="CB124" s="195"/>
      <c r="CC124" s="195"/>
      <c r="CD124" s="195"/>
      <c r="CE124" s="195"/>
      <c r="CF124" s="195"/>
      <c r="CG124" s="195"/>
      <c r="CH124" s="195"/>
      <c r="CI124" s="195"/>
      <c r="CJ124" s="195"/>
      <c r="CK124" s="195"/>
      <c r="CL124" s="195"/>
      <c r="CM124" s="195"/>
      <c r="CN124" s="195"/>
      <c r="CO124" s="195"/>
      <c r="CP124" s="195"/>
      <c r="CQ124" s="195"/>
      <c r="CR124" s="195"/>
      <c r="CS124" s="195"/>
      <c r="CT124" s="195"/>
      <c r="CU124" s="195"/>
      <c r="CV124" s="195"/>
      <c r="CW124" s="195"/>
      <c r="CX124" s="195"/>
      <c r="CY124" s="195"/>
      <c r="CZ124" s="195"/>
      <c r="DA124" s="195"/>
      <c r="DB124" s="195"/>
      <c r="DC124" s="195"/>
      <c r="DD124" s="195"/>
      <c r="DE124" s="195"/>
      <c r="DF124" s="195"/>
      <c r="DG124" s="195"/>
      <c r="DH124" s="195"/>
      <c r="DI124" s="195"/>
      <c r="DJ124" s="195"/>
      <c r="DK124" s="195"/>
      <c r="DL124" s="195"/>
      <c r="DM124" s="195"/>
      <c r="DN124" s="195"/>
      <c r="DO124" s="195"/>
      <c r="DP124" s="195"/>
      <c r="DQ124" s="195"/>
      <c r="DR124" s="195"/>
      <c r="DS124" s="195"/>
      <c r="DT124" s="195"/>
    </row>
    <row r="125" spans="3:124" ht="12.75" customHeight="1" x14ac:dyDescent="0.2">
      <c r="C125" s="408" t="s">
        <v>287</v>
      </c>
      <c r="D125" s="409"/>
      <c r="E125" s="409"/>
      <c r="F125" s="409"/>
      <c r="G125" s="409"/>
      <c r="H125" s="409"/>
      <c r="I125" s="409"/>
      <c r="J125" s="409"/>
      <c r="K125" s="409"/>
      <c r="L125" s="409"/>
      <c r="M125" s="409"/>
      <c r="N125" s="409"/>
      <c r="O125" s="409"/>
      <c r="P125" s="409"/>
      <c r="Q125" s="409"/>
      <c r="R125" s="409"/>
      <c r="S125" s="410"/>
      <c r="T125" s="195"/>
      <c r="U125" s="195"/>
      <c r="V125" s="195"/>
      <c r="W125" s="195"/>
      <c r="X125" s="195"/>
      <c r="Y125" s="22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5"/>
      <c r="BE125" s="195"/>
      <c r="BF125" s="195"/>
      <c r="BG125" s="195"/>
      <c r="BH125" s="195"/>
      <c r="BI125" s="195"/>
      <c r="BJ125" s="195"/>
      <c r="BK125" s="195"/>
      <c r="BL125" s="195"/>
      <c r="BM125" s="195"/>
      <c r="BN125" s="195"/>
      <c r="BO125" s="195"/>
      <c r="BP125" s="195"/>
      <c r="BQ125" s="195"/>
      <c r="BR125" s="195"/>
      <c r="BS125" s="195"/>
      <c r="BT125" s="195"/>
      <c r="BU125" s="195"/>
      <c r="BV125" s="195"/>
      <c r="BW125" s="195"/>
      <c r="BX125" s="195"/>
      <c r="BY125" s="195"/>
      <c r="BZ125" s="195"/>
      <c r="CA125" s="195"/>
      <c r="CB125" s="195"/>
      <c r="CC125" s="195"/>
      <c r="CD125" s="195"/>
      <c r="CE125" s="195"/>
      <c r="CF125" s="195"/>
      <c r="CG125" s="195"/>
      <c r="CH125" s="195"/>
      <c r="CI125" s="195"/>
      <c r="CJ125" s="195"/>
      <c r="CK125" s="195"/>
      <c r="CL125" s="195"/>
      <c r="CM125" s="195"/>
      <c r="CN125" s="195"/>
      <c r="CO125" s="195"/>
      <c r="CP125" s="195"/>
      <c r="CQ125" s="195"/>
      <c r="CR125" s="195"/>
      <c r="CS125" s="195"/>
      <c r="CT125" s="195"/>
      <c r="CU125" s="195"/>
      <c r="CV125" s="195"/>
      <c r="CW125" s="195"/>
      <c r="CX125" s="195"/>
      <c r="CY125" s="195"/>
      <c r="CZ125" s="195"/>
      <c r="DA125" s="195"/>
      <c r="DB125" s="195"/>
      <c r="DC125" s="195"/>
      <c r="DD125" s="195"/>
      <c r="DE125" s="195"/>
      <c r="DF125" s="195"/>
      <c r="DG125" s="195"/>
      <c r="DH125" s="195"/>
      <c r="DI125" s="195"/>
      <c r="DJ125" s="195"/>
      <c r="DK125" s="195"/>
      <c r="DL125" s="195"/>
      <c r="DM125" s="195"/>
      <c r="DN125" s="195"/>
      <c r="DO125" s="195"/>
      <c r="DP125" s="195"/>
      <c r="DQ125" s="195"/>
      <c r="DR125" s="195"/>
      <c r="DS125" s="195"/>
      <c r="DT125" s="195"/>
    </row>
    <row r="126" spans="3:124" ht="25.5" hidden="1" x14ac:dyDescent="0.2">
      <c r="C126" s="30" t="s">
        <v>274</v>
      </c>
      <c r="D126" s="94" t="e">
        <f>SUMIFS('Перечень инв.проектов ВО'!#REF!,'Перечень инв.проектов ВО'!$AF$3:$AF$226,"кнс",'Перечень инв.проектов ВО'!$B$3:$B$226,C$90)</f>
        <v>#REF!</v>
      </c>
      <c r="E126" s="51">
        <v>20</v>
      </c>
      <c r="F126" s="82">
        <f t="shared" ref="F126:F130" si="38">ROUND(100/E126,2)</f>
        <v>5</v>
      </c>
      <c r="G126" s="94" t="e">
        <f t="shared" ref="G126:V139" si="39">$D126*$F126/100</f>
        <v>#REF!</v>
      </c>
      <c r="H126" s="94" t="e">
        <f t="shared" si="39"/>
        <v>#REF!</v>
      </c>
      <c r="I126" s="94" t="e">
        <f t="shared" si="39"/>
        <v>#REF!</v>
      </c>
      <c r="J126" s="94" t="e">
        <f t="shared" si="39"/>
        <v>#REF!</v>
      </c>
      <c r="K126" s="94" t="e">
        <f t="shared" si="39"/>
        <v>#REF!</v>
      </c>
      <c r="L126" s="94" t="e">
        <f t="shared" si="39"/>
        <v>#REF!</v>
      </c>
      <c r="M126" s="94" t="e">
        <f t="shared" si="39"/>
        <v>#REF!</v>
      </c>
      <c r="N126" s="94" t="e">
        <f t="shared" si="39"/>
        <v>#REF!</v>
      </c>
      <c r="O126" s="94" t="e">
        <f t="shared" si="39"/>
        <v>#REF!</v>
      </c>
      <c r="P126" s="94" t="e">
        <f t="shared" si="39"/>
        <v>#REF!</v>
      </c>
      <c r="Q126" s="94" t="e">
        <f t="shared" si="39"/>
        <v>#REF!</v>
      </c>
      <c r="R126" s="94" t="e">
        <f t="shared" si="39"/>
        <v>#REF!</v>
      </c>
      <c r="S126" s="94" t="e">
        <f t="shared" si="39"/>
        <v>#REF!</v>
      </c>
      <c r="T126" s="195" t="e">
        <f t="shared" si="39"/>
        <v>#REF!</v>
      </c>
      <c r="U126" s="195" t="e">
        <f t="shared" si="39"/>
        <v>#REF!</v>
      </c>
      <c r="V126" s="195" t="e">
        <f t="shared" si="39"/>
        <v>#REF!</v>
      </c>
      <c r="W126" s="195" t="e">
        <f t="shared" ref="W126:X126" si="40">$D126*$F126/100</f>
        <v>#REF!</v>
      </c>
      <c r="X126" s="195" t="e">
        <f t="shared" si="40"/>
        <v>#REF!</v>
      </c>
      <c r="Y126" s="22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5"/>
      <c r="BE126" s="195"/>
      <c r="BF126" s="195"/>
      <c r="BG126" s="195"/>
      <c r="BH126" s="195"/>
      <c r="BI126" s="195"/>
      <c r="BJ126" s="195"/>
      <c r="BK126" s="195"/>
      <c r="BL126" s="195"/>
      <c r="BM126" s="195"/>
      <c r="BN126" s="195"/>
      <c r="BO126" s="195"/>
      <c r="BP126" s="195"/>
      <c r="BQ126" s="195"/>
      <c r="BR126" s="195"/>
      <c r="BS126" s="195"/>
      <c r="BT126" s="195"/>
      <c r="BU126" s="195"/>
      <c r="BV126" s="195"/>
      <c r="BW126" s="195"/>
      <c r="BX126" s="195"/>
      <c r="BY126" s="195"/>
      <c r="BZ126" s="195"/>
      <c r="CA126" s="195"/>
      <c r="CB126" s="195"/>
      <c r="CC126" s="195"/>
      <c r="CD126" s="195"/>
      <c r="CE126" s="195"/>
      <c r="CF126" s="195"/>
      <c r="CG126" s="195"/>
      <c r="CH126" s="195"/>
      <c r="CI126" s="195"/>
      <c r="CJ126" s="195"/>
      <c r="CK126" s="195"/>
      <c r="CL126" s="195"/>
      <c r="CM126" s="195"/>
      <c r="CN126" s="195"/>
      <c r="CO126" s="195"/>
      <c r="CP126" s="195"/>
      <c r="CQ126" s="195"/>
      <c r="CR126" s="195"/>
      <c r="CS126" s="195"/>
      <c r="CT126" s="195"/>
      <c r="CU126" s="195"/>
      <c r="CV126" s="195"/>
      <c r="CW126" s="195"/>
      <c r="CX126" s="195"/>
      <c r="CY126" s="195"/>
      <c r="CZ126" s="195"/>
      <c r="DA126" s="195"/>
      <c r="DB126" s="195"/>
      <c r="DC126" s="195"/>
      <c r="DD126" s="195"/>
      <c r="DE126" s="195"/>
      <c r="DF126" s="195"/>
      <c r="DG126" s="195"/>
      <c r="DH126" s="195"/>
      <c r="DI126" s="195"/>
      <c r="DJ126" s="195"/>
      <c r="DK126" s="195"/>
      <c r="DL126" s="195"/>
      <c r="DM126" s="195"/>
      <c r="DN126" s="195"/>
      <c r="DO126" s="195"/>
      <c r="DP126" s="195"/>
      <c r="DQ126" s="195"/>
      <c r="DR126" s="195"/>
      <c r="DS126" s="195"/>
      <c r="DT126" s="195"/>
    </row>
    <row r="127" spans="3:124" ht="25.5" x14ac:dyDescent="0.2">
      <c r="C127" s="30" t="s">
        <v>275</v>
      </c>
      <c r="D127" s="94">
        <f>SUMIFS('Перечень инв.проектов ВО'!$L$3:$L$226,'Перечень инв.проектов ВО'!$AF$3:$AF$226,"кнс",'Перечень инв.проектов ВО'!$B$3:$B$226,C$90)</f>
        <v>0</v>
      </c>
      <c r="E127" s="51">
        <v>20</v>
      </c>
      <c r="F127" s="82">
        <f t="shared" si="38"/>
        <v>5</v>
      </c>
      <c r="G127" s="94">
        <f t="shared" si="39"/>
        <v>0</v>
      </c>
      <c r="H127" s="94">
        <f t="shared" si="39"/>
        <v>0</v>
      </c>
      <c r="I127" s="94">
        <f t="shared" si="39"/>
        <v>0</v>
      </c>
      <c r="J127" s="94">
        <f t="shared" si="39"/>
        <v>0</v>
      </c>
      <c r="K127" s="94">
        <f t="shared" si="39"/>
        <v>0</v>
      </c>
      <c r="L127" s="94">
        <f t="shared" si="39"/>
        <v>0</v>
      </c>
      <c r="M127" s="94">
        <f t="shared" si="39"/>
        <v>0</v>
      </c>
      <c r="N127" s="94">
        <f t="shared" si="39"/>
        <v>0</v>
      </c>
      <c r="O127" s="94">
        <f t="shared" si="39"/>
        <v>0</v>
      </c>
      <c r="P127" s="94">
        <f t="shared" si="39"/>
        <v>0</v>
      </c>
      <c r="Q127" s="94">
        <f t="shared" si="39"/>
        <v>0</v>
      </c>
      <c r="R127" s="94">
        <f t="shared" si="39"/>
        <v>0</v>
      </c>
      <c r="S127" s="94">
        <f t="shared" si="39"/>
        <v>0</v>
      </c>
      <c r="T127" s="195"/>
      <c r="U127" s="195"/>
      <c r="V127" s="195"/>
      <c r="W127" s="195"/>
      <c r="X127" s="195"/>
      <c r="Y127" s="22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95"/>
      <c r="CA127" s="195"/>
      <c r="CB127" s="195"/>
      <c r="CC127" s="195"/>
      <c r="CD127" s="195"/>
      <c r="CE127" s="195"/>
      <c r="CF127" s="195"/>
      <c r="CG127" s="195"/>
      <c r="CH127" s="195"/>
      <c r="CI127" s="195"/>
      <c r="CJ127" s="195"/>
      <c r="CK127" s="195"/>
      <c r="CL127" s="195"/>
      <c r="CM127" s="195"/>
      <c r="CN127" s="195"/>
      <c r="CO127" s="195"/>
      <c r="CP127" s="195"/>
      <c r="CQ127" s="195"/>
      <c r="CR127" s="195"/>
      <c r="CS127" s="195"/>
      <c r="CT127" s="195"/>
      <c r="CU127" s="195"/>
      <c r="CV127" s="195"/>
      <c r="CW127" s="195"/>
      <c r="CX127" s="195"/>
      <c r="CY127" s="195"/>
      <c r="CZ127" s="195"/>
      <c r="DA127" s="195"/>
      <c r="DB127" s="195"/>
      <c r="DC127" s="195"/>
      <c r="DD127" s="195"/>
      <c r="DE127" s="195"/>
      <c r="DF127" s="195"/>
      <c r="DG127" s="195"/>
      <c r="DH127" s="195"/>
      <c r="DI127" s="195"/>
      <c r="DJ127" s="195"/>
      <c r="DK127" s="195"/>
      <c r="DL127" s="195"/>
      <c r="DM127" s="195"/>
      <c r="DN127" s="195"/>
      <c r="DO127" s="195"/>
      <c r="DP127" s="195"/>
      <c r="DQ127" s="195"/>
      <c r="DR127" s="195"/>
      <c r="DS127" s="195"/>
      <c r="DT127" s="195"/>
    </row>
    <row r="128" spans="3:124" ht="25.5" x14ac:dyDescent="0.2">
      <c r="C128" s="30" t="s">
        <v>276</v>
      </c>
      <c r="D128" s="94">
        <f>SUMIFS('Перечень инв.проектов ВО'!$M$3:$M$226,'Перечень инв.проектов ВО'!$AF$3:$AF$226,"кнс",'Перечень инв.проектов ВО'!$B$3:$B$226,C$90)</f>
        <v>18141.41</v>
      </c>
      <c r="E128" s="51">
        <v>20</v>
      </c>
      <c r="F128" s="82">
        <f t="shared" si="38"/>
        <v>5</v>
      </c>
      <c r="G128" s="94"/>
      <c r="H128" s="94">
        <f t="shared" si="39"/>
        <v>907.07050000000004</v>
      </c>
      <c r="I128" s="94">
        <f t="shared" si="39"/>
        <v>907.07050000000004</v>
      </c>
      <c r="J128" s="94">
        <f t="shared" si="39"/>
        <v>907.07050000000004</v>
      </c>
      <c r="K128" s="94">
        <f t="shared" si="39"/>
        <v>907.07050000000004</v>
      </c>
      <c r="L128" s="94">
        <f t="shared" si="39"/>
        <v>907.07050000000004</v>
      </c>
      <c r="M128" s="94">
        <f t="shared" si="39"/>
        <v>907.07050000000004</v>
      </c>
      <c r="N128" s="94">
        <f t="shared" si="39"/>
        <v>907.07050000000004</v>
      </c>
      <c r="O128" s="94">
        <f t="shared" si="39"/>
        <v>907.07050000000004</v>
      </c>
      <c r="P128" s="94">
        <f t="shared" si="39"/>
        <v>907.07050000000004</v>
      </c>
      <c r="Q128" s="94">
        <f t="shared" si="39"/>
        <v>907.07050000000004</v>
      </c>
      <c r="R128" s="94">
        <f t="shared" si="39"/>
        <v>907.07050000000004</v>
      </c>
      <c r="S128" s="94">
        <f t="shared" si="39"/>
        <v>907.07050000000004</v>
      </c>
      <c r="T128" s="195"/>
      <c r="U128" s="195"/>
      <c r="V128" s="195"/>
      <c r="W128" s="195"/>
      <c r="X128" s="195"/>
      <c r="Y128" s="22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95"/>
      <c r="CA128" s="195"/>
      <c r="CB128" s="195"/>
      <c r="CC128" s="195"/>
      <c r="CD128" s="195"/>
      <c r="CE128" s="195"/>
      <c r="CF128" s="195"/>
      <c r="CG128" s="195"/>
      <c r="CH128" s="195"/>
      <c r="CI128" s="195"/>
      <c r="CJ128" s="195"/>
      <c r="CK128" s="195"/>
      <c r="CL128" s="195"/>
      <c r="CM128" s="195"/>
      <c r="CN128" s="195"/>
      <c r="CO128" s="195"/>
      <c r="CP128" s="195"/>
      <c r="CQ128" s="195"/>
      <c r="CR128" s="195"/>
      <c r="CS128" s="195"/>
      <c r="CT128" s="195"/>
      <c r="CU128" s="195"/>
      <c r="CV128" s="195"/>
      <c r="CW128" s="195"/>
      <c r="CX128" s="195"/>
      <c r="CY128" s="195"/>
      <c r="CZ128" s="195"/>
      <c r="DA128" s="195"/>
      <c r="DB128" s="195"/>
      <c r="DC128" s="195"/>
      <c r="DD128" s="195"/>
      <c r="DE128" s="195"/>
      <c r="DF128" s="195"/>
      <c r="DG128" s="195"/>
      <c r="DH128" s="195"/>
      <c r="DI128" s="195"/>
      <c r="DJ128" s="195"/>
      <c r="DK128" s="195"/>
      <c r="DL128" s="195"/>
      <c r="DM128" s="195"/>
      <c r="DN128" s="195"/>
      <c r="DO128" s="195"/>
      <c r="DP128" s="195"/>
      <c r="DQ128" s="195"/>
      <c r="DR128" s="195"/>
      <c r="DS128" s="195"/>
      <c r="DT128" s="195"/>
    </row>
    <row r="129" spans="1:167" ht="25.5" x14ac:dyDescent="0.2">
      <c r="C129" s="30" t="s">
        <v>277</v>
      </c>
      <c r="D129" s="94">
        <f>SUMIFS('Перечень инв.проектов ВО'!$N$3:$N$226,'Перечень инв.проектов ВО'!$AF$3:$AF$226,"кнс",'Перечень инв.проектов ВО'!$B$3:$B$226,C$90)</f>
        <v>17492.353153953631</v>
      </c>
      <c r="E129" s="51">
        <v>20</v>
      </c>
      <c r="F129" s="82">
        <f t="shared" si="38"/>
        <v>5</v>
      </c>
      <c r="G129" s="94"/>
      <c r="H129" s="94"/>
      <c r="I129" s="94">
        <f t="shared" si="39"/>
        <v>874.61765769768158</v>
      </c>
      <c r="J129" s="94">
        <f t="shared" si="39"/>
        <v>874.61765769768158</v>
      </c>
      <c r="K129" s="94">
        <f t="shared" si="39"/>
        <v>874.61765769768158</v>
      </c>
      <c r="L129" s="94">
        <f t="shared" si="39"/>
        <v>874.61765769768158</v>
      </c>
      <c r="M129" s="94">
        <f t="shared" si="39"/>
        <v>874.61765769768158</v>
      </c>
      <c r="N129" s="94">
        <f t="shared" si="39"/>
        <v>874.61765769768158</v>
      </c>
      <c r="O129" s="94">
        <f t="shared" si="39"/>
        <v>874.61765769768158</v>
      </c>
      <c r="P129" s="94">
        <f t="shared" si="39"/>
        <v>874.61765769768158</v>
      </c>
      <c r="Q129" s="94">
        <f t="shared" si="39"/>
        <v>874.61765769768158</v>
      </c>
      <c r="R129" s="94">
        <f t="shared" si="39"/>
        <v>874.61765769768158</v>
      </c>
      <c r="S129" s="94">
        <f t="shared" si="39"/>
        <v>874.61765769768158</v>
      </c>
      <c r="T129" s="195"/>
      <c r="U129" s="195"/>
      <c r="V129" s="195"/>
      <c r="W129" s="195"/>
      <c r="X129" s="195"/>
      <c r="Y129" s="22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5"/>
      <c r="CC129" s="195"/>
      <c r="CD129" s="195"/>
      <c r="CE129" s="195"/>
      <c r="CF129" s="195"/>
      <c r="CG129" s="195"/>
      <c r="CH129" s="195"/>
      <c r="CI129" s="195"/>
      <c r="CJ129" s="195"/>
      <c r="CK129" s="195"/>
      <c r="CL129" s="195"/>
      <c r="CM129" s="195"/>
      <c r="CN129" s="195"/>
      <c r="CO129" s="195"/>
      <c r="CP129" s="195"/>
      <c r="CQ129" s="195"/>
      <c r="CR129" s="195"/>
      <c r="CS129" s="195"/>
      <c r="CT129" s="195"/>
      <c r="CU129" s="195"/>
      <c r="CV129" s="195"/>
      <c r="CW129" s="195"/>
      <c r="CX129" s="195"/>
      <c r="CY129" s="195"/>
      <c r="CZ129" s="195"/>
      <c r="DA129" s="195"/>
      <c r="DB129" s="195"/>
      <c r="DC129" s="195"/>
      <c r="DD129" s="195"/>
      <c r="DE129" s="195"/>
      <c r="DF129" s="195"/>
      <c r="DG129" s="195"/>
      <c r="DH129" s="195"/>
      <c r="DI129" s="195"/>
      <c r="DJ129" s="195"/>
      <c r="DK129" s="195"/>
      <c r="DL129" s="195"/>
      <c r="DM129" s="195"/>
      <c r="DN129" s="195"/>
      <c r="DO129" s="195"/>
      <c r="DP129" s="195"/>
      <c r="DQ129" s="195"/>
      <c r="DR129" s="195"/>
      <c r="DS129" s="195"/>
      <c r="DT129" s="195"/>
    </row>
    <row r="130" spans="1:167" ht="25.5" x14ac:dyDescent="0.2">
      <c r="C130" s="30" t="s">
        <v>391</v>
      </c>
      <c r="D130" s="94">
        <f>SUMIFS('Перечень инв.проектов ВО'!$O$3:$O$226,'Перечень инв.проектов ВО'!$AF$3:$AF$226,"кнс",'Перечень инв.проектов ВО'!$B$3:$B$226,C$90)</f>
        <v>16380.052480111775</v>
      </c>
      <c r="E130" s="51">
        <v>20</v>
      </c>
      <c r="F130" s="82">
        <f t="shared" si="38"/>
        <v>5</v>
      </c>
      <c r="G130" s="94"/>
      <c r="H130" s="94"/>
      <c r="I130" s="94"/>
      <c r="J130" s="94">
        <f>$D130*$F130/100</f>
        <v>819.0026240055887</v>
      </c>
      <c r="K130" s="94">
        <f t="shared" si="39"/>
        <v>819.0026240055887</v>
      </c>
      <c r="L130" s="94">
        <f t="shared" si="39"/>
        <v>819.0026240055887</v>
      </c>
      <c r="M130" s="94">
        <f t="shared" si="39"/>
        <v>819.0026240055887</v>
      </c>
      <c r="N130" s="94">
        <f t="shared" si="39"/>
        <v>819.0026240055887</v>
      </c>
      <c r="O130" s="94">
        <f t="shared" si="39"/>
        <v>819.0026240055887</v>
      </c>
      <c r="P130" s="94">
        <f t="shared" si="39"/>
        <v>819.0026240055887</v>
      </c>
      <c r="Q130" s="94">
        <f t="shared" si="39"/>
        <v>819.0026240055887</v>
      </c>
      <c r="R130" s="94">
        <f t="shared" si="39"/>
        <v>819.0026240055887</v>
      </c>
      <c r="S130" s="94">
        <f t="shared" si="39"/>
        <v>819.0026240055887</v>
      </c>
      <c r="T130" s="195"/>
      <c r="U130" s="195"/>
      <c r="V130" s="195"/>
      <c r="W130" s="195"/>
      <c r="X130" s="195"/>
      <c r="Y130" s="22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5"/>
      <c r="BE130" s="195"/>
      <c r="BF130" s="195"/>
      <c r="BG130" s="195"/>
      <c r="BH130" s="195"/>
      <c r="BI130" s="195"/>
      <c r="BJ130" s="195"/>
      <c r="BK130" s="195"/>
      <c r="BL130" s="195"/>
      <c r="BM130" s="195"/>
      <c r="BN130" s="195"/>
      <c r="BO130" s="195"/>
      <c r="BP130" s="195"/>
      <c r="BQ130" s="195"/>
      <c r="BR130" s="195"/>
      <c r="BS130" s="195"/>
      <c r="BT130" s="195"/>
      <c r="BU130" s="195"/>
      <c r="BV130" s="195"/>
      <c r="BW130" s="195"/>
      <c r="BX130" s="195"/>
      <c r="BY130" s="195"/>
      <c r="BZ130" s="195"/>
      <c r="CA130" s="195"/>
      <c r="CB130" s="195"/>
      <c r="CC130" s="195"/>
      <c r="CD130" s="195"/>
      <c r="CE130" s="195"/>
      <c r="CF130" s="195"/>
      <c r="CG130" s="195"/>
      <c r="CH130" s="195"/>
      <c r="CI130" s="195"/>
      <c r="CJ130" s="195"/>
      <c r="CK130" s="195"/>
      <c r="CL130" s="195"/>
      <c r="CM130" s="195"/>
      <c r="CN130" s="195"/>
      <c r="CO130" s="195"/>
      <c r="CP130" s="195"/>
      <c r="CQ130" s="195"/>
      <c r="CR130" s="195"/>
      <c r="CS130" s="195"/>
      <c r="CT130" s="195"/>
      <c r="CU130" s="195"/>
      <c r="CV130" s="195"/>
      <c r="CW130" s="195"/>
      <c r="CX130" s="195"/>
      <c r="CY130" s="195"/>
      <c r="CZ130" s="195"/>
      <c r="DA130" s="195"/>
      <c r="DB130" s="195"/>
      <c r="DC130" s="195"/>
      <c r="DD130" s="195"/>
      <c r="DE130" s="195"/>
      <c r="DF130" s="195"/>
      <c r="DG130" s="195"/>
      <c r="DH130" s="195"/>
      <c r="DI130" s="195"/>
      <c r="DJ130" s="195"/>
      <c r="DK130" s="195"/>
      <c r="DL130" s="195"/>
      <c r="DM130" s="195"/>
      <c r="DN130" s="195"/>
      <c r="DO130" s="195"/>
      <c r="DP130" s="195"/>
      <c r="DQ130" s="195"/>
      <c r="DR130" s="195"/>
      <c r="DS130" s="195"/>
      <c r="DT130" s="195"/>
    </row>
    <row r="131" spans="1:167" ht="25.5" x14ac:dyDescent="0.2">
      <c r="C131" s="30" t="s">
        <v>392</v>
      </c>
      <c r="D131" s="94">
        <f>SUMIFS('Перечень инв.проектов ВО'!$P$3:$P$226,'Перечень инв.проектов ВО'!$AF$3:$AF$226,"кнс",'Перечень инв.проектов ВО'!$B$3:$B$226,C$90)</f>
        <v>22892.166579316243</v>
      </c>
      <c r="E131" s="51">
        <v>20</v>
      </c>
      <c r="F131" s="82">
        <f t="shared" ref="F131:F139" si="41">ROUND(100/E131,2)</f>
        <v>5</v>
      </c>
      <c r="G131" s="94"/>
      <c r="H131" s="94"/>
      <c r="I131" s="94"/>
      <c r="J131" s="94"/>
      <c r="K131" s="94">
        <f t="shared" si="39"/>
        <v>1144.608328965812</v>
      </c>
      <c r="L131" s="94">
        <f t="shared" si="39"/>
        <v>1144.608328965812</v>
      </c>
      <c r="M131" s="94">
        <f t="shared" si="39"/>
        <v>1144.608328965812</v>
      </c>
      <c r="N131" s="94">
        <f t="shared" si="39"/>
        <v>1144.608328965812</v>
      </c>
      <c r="O131" s="94">
        <f t="shared" si="39"/>
        <v>1144.608328965812</v>
      </c>
      <c r="P131" s="94">
        <f t="shared" si="39"/>
        <v>1144.608328965812</v>
      </c>
      <c r="Q131" s="94">
        <f t="shared" si="39"/>
        <v>1144.608328965812</v>
      </c>
      <c r="R131" s="94">
        <f t="shared" si="39"/>
        <v>1144.608328965812</v>
      </c>
      <c r="S131" s="94">
        <f t="shared" si="39"/>
        <v>1144.608328965812</v>
      </c>
      <c r="T131" s="195"/>
      <c r="U131" s="195"/>
      <c r="V131" s="195"/>
      <c r="W131" s="195"/>
      <c r="X131" s="195"/>
      <c r="Y131" s="22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5"/>
      <c r="BE131" s="195"/>
      <c r="BF131" s="195"/>
      <c r="BG131" s="195"/>
      <c r="BH131" s="195"/>
      <c r="BI131" s="195"/>
      <c r="BJ131" s="195"/>
      <c r="BK131" s="195"/>
      <c r="BL131" s="195"/>
      <c r="BM131" s="195"/>
      <c r="BN131" s="195"/>
      <c r="BO131" s="195"/>
      <c r="BP131" s="195"/>
      <c r="BQ131" s="195"/>
      <c r="BR131" s="195"/>
      <c r="BS131" s="195"/>
      <c r="BT131" s="195"/>
      <c r="BU131" s="195"/>
      <c r="BV131" s="195"/>
      <c r="BW131" s="195"/>
      <c r="BX131" s="195"/>
      <c r="BY131" s="195"/>
      <c r="BZ131" s="195"/>
      <c r="CA131" s="195"/>
      <c r="CB131" s="195"/>
      <c r="CC131" s="195"/>
      <c r="CD131" s="195"/>
      <c r="CE131" s="195"/>
      <c r="CF131" s="195"/>
      <c r="CG131" s="195"/>
      <c r="CH131" s="195"/>
      <c r="CI131" s="195"/>
      <c r="CJ131" s="195"/>
      <c r="CK131" s="195"/>
      <c r="CL131" s="195"/>
      <c r="CM131" s="195"/>
      <c r="CN131" s="195"/>
      <c r="CO131" s="195"/>
      <c r="CP131" s="195"/>
      <c r="CQ131" s="195"/>
      <c r="CR131" s="195"/>
      <c r="CS131" s="195"/>
      <c r="CT131" s="195"/>
      <c r="CU131" s="195"/>
      <c r="CV131" s="195"/>
      <c r="CW131" s="195"/>
      <c r="CX131" s="195"/>
      <c r="CY131" s="195"/>
      <c r="CZ131" s="195"/>
      <c r="DA131" s="195"/>
      <c r="DB131" s="195"/>
      <c r="DC131" s="195"/>
      <c r="DD131" s="195"/>
      <c r="DE131" s="195"/>
      <c r="DF131" s="195"/>
      <c r="DG131" s="195"/>
      <c r="DH131" s="195"/>
      <c r="DI131" s="195"/>
      <c r="DJ131" s="195"/>
      <c r="DK131" s="195"/>
      <c r="DL131" s="195"/>
      <c r="DM131" s="195"/>
      <c r="DN131" s="195"/>
      <c r="DO131" s="195"/>
      <c r="DP131" s="195"/>
      <c r="DQ131" s="195"/>
      <c r="DR131" s="195"/>
      <c r="DS131" s="195"/>
      <c r="DT131" s="195"/>
    </row>
    <row r="132" spans="1:167" ht="25.5" x14ac:dyDescent="0.2">
      <c r="C132" s="30" t="s">
        <v>393</v>
      </c>
      <c r="D132" s="94">
        <f>SUMIFS('Перечень инв.проектов ВО'!$Q$3:$Q$226,'Перечень инв.проектов ВО'!$AF$3:$AF$226,"кнс",'Перечень инв.проектов ВО'!$B$3:$B$226,C$90)</f>
        <v>40157.404655728504</v>
      </c>
      <c r="E132" s="51">
        <v>20</v>
      </c>
      <c r="F132" s="82">
        <f t="shared" si="41"/>
        <v>5</v>
      </c>
      <c r="G132" s="94"/>
      <c r="H132" s="94"/>
      <c r="I132" s="94"/>
      <c r="J132" s="94"/>
      <c r="K132" s="94"/>
      <c r="L132" s="94">
        <f t="shared" si="39"/>
        <v>2007.870232786425</v>
      </c>
      <c r="M132" s="94">
        <f t="shared" si="39"/>
        <v>2007.870232786425</v>
      </c>
      <c r="N132" s="94">
        <f t="shared" si="39"/>
        <v>2007.870232786425</v>
      </c>
      <c r="O132" s="94">
        <f t="shared" si="39"/>
        <v>2007.870232786425</v>
      </c>
      <c r="P132" s="94">
        <f t="shared" si="39"/>
        <v>2007.870232786425</v>
      </c>
      <c r="Q132" s="94">
        <f t="shared" si="39"/>
        <v>2007.870232786425</v>
      </c>
      <c r="R132" s="94">
        <f t="shared" si="39"/>
        <v>2007.870232786425</v>
      </c>
      <c r="S132" s="94">
        <f t="shared" si="39"/>
        <v>2007.870232786425</v>
      </c>
      <c r="T132" s="195"/>
      <c r="U132" s="195"/>
      <c r="V132" s="195"/>
      <c r="W132" s="195"/>
      <c r="X132" s="195"/>
      <c r="Y132" s="22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5"/>
      <c r="BE132" s="195"/>
      <c r="BF132" s="195"/>
      <c r="BG132" s="195"/>
      <c r="BH132" s="195"/>
      <c r="BI132" s="195"/>
      <c r="BJ132" s="195"/>
      <c r="BK132" s="195"/>
      <c r="BL132" s="195"/>
      <c r="BM132" s="195"/>
      <c r="BN132" s="195"/>
      <c r="BO132" s="195"/>
      <c r="BP132" s="195"/>
      <c r="BQ132" s="195"/>
      <c r="BR132" s="195"/>
      <c r="BS132" s="195"/>
      <c r="BT132" s="195"/>
      <c r="BU132" s="195"/>
      <c r="BV132" s="195"/>
      <c r="BW132" s="195"/>
      <c r="BX132" s="195"/>
      <c r="BY132" s="195"/>
      <c r="BZ132" s="195"/>
      <c r="CA132" s="195"/>
      <c r="CB132" s="195"/>
      <c r="CC132" s="195"/>
      <c r="CD132" s="195"/>
      <c r="CE132" s="195"/>
      <c r="CF132" s="195"/>
      <c r="CG132" s="195"/>
      <c r="CH132" s="195"/>
      <c r="CI132" s="195"/>
      <c r="CJ132" s="195"/>
      <c r="CK132" s="195"/>
      <c r="CL132" s="195"/>
      <c r="CM132" s="195"/>
      <c r="CN132" s="195"/>
      <c r="CO132" s="195"/>
      <c r="CP132" s="195"/>
      <c r="CQ132" s="195"/>
      <c r="CR132" s="195"/>
      <c r="CS132" s="195"/>
      <c r="CT132" s="195"/>
      <c r="CU132" s="195"/>
      <c r="CV132" s="195"/>
      <c r="CW132" s="195"/>
      <c r="CX132" s="195"/>
      <c r="CY132" s="195"/>
      <c r="CZ132" s="195"/>
      <c r="DA132" s="195"/>
      <c r="DB132" s="195"/>
      <c r="DC132" s="195"/>
      <c r="DD132" s="195"/>
      <c r="DE132" s="195"/>
      <c r="DF132" s="195"/>
      <c r="DG132" s="195"/>
      <c r="DH132" s="195"/>
      <c r="DI132" s="195"/>
      <c r="DJ132" s="195"/>
      <c r="DK132" s="195"/>
      <c r="DL132" s="195"/>
      <c r="DM132" s="195"/>
      <c r="DN132" s="195"/>
      <c r="DO132" s="195"/>
      <c r="DP132" s="195"/>
      <c r="DQ132" s="195"/>
      <c r="DR132" s="195"/>
      <c r="DS132" s="195"/>
      <c r="DT132" s="195"/>
    </row>
    <row r="133" spans="1:167" ht="25.5" x14ac:dyDescent="0.2">
      <c r="C133" s="30" t="s">
        <v>394</v>
      </c>
      <c r="D133" s="94">
        <f>SUMIFS('Перечень инв.проектов ВО'!$R$3:$R$226,'Перечень инв.проектов ВО'!$AF$3:$AF$226,"кнс",'Перечень инв.проектов ВО'!$B$3:$B$226,C$90)</f>
        <v>41763.700841957645</v>
      </c>
      <c r="E133" s="51">
        <v>20</v>
      </c>
      <c r="F133" s="82">
        <f t="shared" si="41"/>
        <v>5</v>
      </c>
      <c r="G133" s="94"/>
      <c r="H133" s="94"/>
      <c r="I133" s="94"/>
      <c r="J133" s="94"/>
      <c r="K133" s="94"/>
      <c r="L133" s="94"/>
      <c r="M133" s="94">
        <f t="shared" si="39"/>
        <v>2088.1850420978822</v>
      </c>
      <c r="N133" s="94">
        <f t="shared" si="39"/>
        <v>2088.1850420978822</v>
      </c>
      <c r="O133" s="94">
        <f t="shared" si="39"/>
        <v>2088.1850420978822</v>
      </c>
      <c r="P133" s="94">
        <f t="shared" si="39"/>
        <v>2088.1850420978822</v>
      </c>
      <c r="Q133" s="94">
        <f t="shared" si="39"/>
        <v>2088.1850420978822</v>
      </c>
      <c r="R133" s="94">
        <f t="shared" si="39"/>
        <v>2088.1850420978822</v>
      </c>
      <c r="S133" s="94">
        <f t="shared" si="39"/>
        <v>2088.1850420978822</v>
      </c>
      <c r="T133" s="195"/>
      <c r="U133" s="195"/>
      <c r="V133" s="195"/>
      <c r="W133" s="195"/>
      <c r="X133" s="195"/>
      <c r="Y133" s="22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5"/>
      <c r="BE133" s="195"/>
      <c r="BF133" s="195"/>
      <c r="BG133" s="195"/>
      <c r="BH133" s="195"/>
      <c r="BI133" s="195"/>
      <c r="BJ133" s="195"/>
      <c r="BK133" s="195"/>
      <c r="BL133" s="195"/>
      <c r="BM133" s="195"/>
      <c r="BN133" s="195"/>
      <c r="BO133" s="195"/>
      <c r="BP133" s="195"/>
      <c r="BQ133" s="195"/>
      <c r="BR133" s="195"/>
      <c r="BS133" s="195"/>
      <c r="BT133" s="195"/>
      <c r="BU133" s="195"/>
      <c r="BV133" s="195"/>
      <c r="BW133" s="195"/>
      <c r="BX133" s="195"/>
      <c r="BY133" s="195"/>
      <c r="BZ133" s="195"/>
      <c r="CA133" s="195"/>
      <c r="CB133" s="195"/>
      <c r="CC133" s="195"/>
      <c r="CD133" s="195"/>
      <c r="CE133" s="195"/>
      <c r="CF133" s="195"/>
      <c r="CG133" s="195"/>
      <c r="CH133" s="195"/>
      <c r="CI133" s="195"/>
      <c r="CJ133" s="195"/>
      <c r="CK133" s="195"/>
      <c r="CL133" s="195"/>
      <c r="CM133" s="195"/>
      <c r="CN133" s="195"/>
      <c r="CO133" s="195"/>
      <c r="CP133" s="195"/>
      <c r="CQ133" s="195"/>
      <c r="CR133" s="195"/>
      <c r="CS133" s="195"/>
      <c r="CT133" s="195"/>
      <c r="CU133" s="195"/>
      <c r="CV133" s="195"/>
      <c r="CW133" s="195"/>
      <c r="CX133" s="195"/>
      <c r="CY133" s="195"/>
      <c r="CZ133" s="195"/>
      <c r="DA133" s="195"/>
      <c r="DB133" s="195"/>
      <c r="DC133" s="195"/>
      <c r="DD133" s="195"/>
      <c r="DE133" s="195"/>
      <c r="DF133" s="195"/>
      <c r="DG133" s="195"/>
      <c r="DH133" s="195"/>
      <c r="DI133" s="195"/>
      <c r="DJ133" s="195"/>
      <c r="DK133" s="195"/>
      <c r="DL133" s="195"/>
      <c r="DM133" s="195"/>
      <c r="DN133" s="195"/>
      <c r="DO133" s="195"/>
      <c r="DP133" s="195"/>
      <c r="DQ133" s="195"/>
      <c r="DR133" s="195"/>
      <c r="DS133" s="195"/>
      <c r="DT133" s="195"/>
    </row>
    <row r="134" spans="1:167" ht="25.5" x14ac:dyDescent="0.2">
      <c r="C134" s="30" t="s">
        <v>395</v>
      </c>
      <c r="D134" s="94">
        <f>SUMIFS('Перечень инв.проектов ВО'!$S$3:$S$226,'Перечень инв.проектов ВО'!$AF$3:$AF$226,"кнс",'Перечень инв.проектов ВО'!$B$3:$B$226,C$90)</f>
        <v>43434.24887563596</v>
      </c>
      <c r="E134" s="51">
        <v>20</v>
      </c>
      <c r="F134" s="82">
        <f t="shared" si="41"/>
        <v>5</v>
      </c>
      <c r="G134" s="94"/>
      <c r="H134" s="94"/>
      <c r="I134" s="94"/>
      <c r="J134" s="94"/>
      <c r="K134" s="94"/>
      <c r="L134" s="94"/>
      <c r="M134" s="94"/>
      <c r="N134" s="94">
        <f t="shared" si="39"/>
        <v>2171.7124437817979</v>
      </c>
      <c r="O134" s="94">
        <f t="shared" si="39"/>
        <v>2171.7124437817979</v>
      </c>
      <c r="P134" s="94">
        <f t="shared" si="39"/>
        <v>2171.7124437817979</v>
      </c>
      <c r="Q134" s="94">
        <f t="shared" si="39"/>
        <v>2171.7124437817979</v>
      </c>
      <c r="R134" s="94">
        <f t="shared" si="39"/>
        <v>2171.7124437817979</v>
      </c>
      <c r="S134" s="94">
        <f t="shared" si="39"/>
        <v>2171.7124437817979</v>
      </c>
      <c r="T134" s="195"/>
      <c r="U134" s="195"/>
      <c r="V134" s="195"/>
      <c r="W134" s="195"/>
      <c r="X134" s="195"/>
      <c r="Y134" s="22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5"/>
      <c r="BE134" s="195"/>
      <c r="BF134" s="195"/>
      <c r="BG134" s="195"/>
      <c r="BH134" s="195"/>
      <c r="BI134" s="195"/>
      <c r="BJ134" s="195"/>
      <c r="BK134" s="195"/>
      <c r="BL134" s="195"/>
      <c r="BM134" s="195"/>
      <c r="BN134" s="195"/>
      <c r="BO134" s="195"/>
      <c r="BP134" s="195"/>
      <c r="BQ134" s="195"/>
      <c r="BR134" s="195"/>
      <c r="BS134" s="195"/>
      <c r="BT134" s="195"/>
      <c r="BU134" s="195"/>
      <c r="BV134" s="195"/>
      <c r="BW134" s="195"/>
      <c r="BX134" s="195"/>
      <c r="BY134" s="195"/>
      <c r="BZ134" s="195"/>
      <c r="CA134" s="195"/>
      <c r="CB134" s="195"/>
      <c r="CC134" s="195"/>
      <c r="CD134" s="195"/>
      <c r="CE134" s="195"/>
      <c r="CF134" s="195"/>
      <c r="CG134" s="195"/>
      <c r="CH134" s="195"/>
      <c r="CI134" s="195"/>
      <c r="CJ134" s="195"/>
      <c r="CK134" s="195"/>
      <c r="CL134" s="195"/>
      <c r="CM134" s="195"/>
      <c r="CN134" s="195"/>
      <c r="CO134" s="195"/>
      <c r="CP134" s="195"/>
      <c r="CQ134" s="195"/>
      <c r="CR134" s="195"/>
      <c r="CS134" s="195"/>
      <c r="CT134" s="195"/>
      <c r="CU134" s="195"/>
      <c r="CV134" s="195"/>
      <c r="CW134" s="195"/>
      <c r="CX134" s="195"/>
      <c r="CY134" s="195"/>
      <c r="CZ134" s="195"/>
      <c r="DA134" s="195"/>
      <c r="DB134" s="195"/>
      <c r="DC134" s="195"/>
      <c r="DD134" s="195"/>
      <c r="DE134" s="195"/>
      <c r="DF134" s="195"/>
      <c r="DG134" s="195"/>
      <c r="DH134" s="195"/>
      <c r="DI134" s="195"/>
      <c r="DJ134" s="195"/>
      <c r="DK134" s="195"/>
      <c r="DL134" s="195"/>
      <c r="DM134" s="195"/>
      <c r="DN134" s="195"/>
      <c r="DO134" s="195"/>
      <c r="DP134" s="195"/>
      <c r="DQ134" s="195"/>
      <c r="DR134" s="195"/>
      <c r="DS134" s="195"/>
      <c r="DT134" s="195"/>
    </row>
    <row r="135" spans="1:167" ht="25.5" x14ac:dyDescent="0.2">
      <c r="C135" s="30" t="s">
        <v>396</v>
      </c>
      <c r="D135" s="94">
        <f>SUMIFS('Перечень инв.проектов ВО'!$T$3:$T$226,'Перечень инв.проектов ВО'!$AF$3:$AF$226,"кнс",'Перечень инв.проектов ВО'!$B$3:$B$226,C$90)</f>
        <v>45171.618830661391</v>
      </c>
      <c r="E135" s="51">
        <v>20</v>
      </c>
      <c r="F135" s="82">
        <f t="shared" si="41"/>
        <v>5</v>
      </c>
      <c r="G135" s="94"/>
      <c r="H135" s="94"/>
      <c r="I135" s="94"/>
      <c r="J135" s="94"/>
      <c r="K135" s="94"/>
      <c r="L135" s="94"/>
      <c r="M135" s="94"/>
      <c r="N135" s="94"/>
      <c r="O135" s="94">
        <f t="shared" si="39"/>
        <v>2258.5809415330696</v>
      </c>
      <c r="P135" s="94">
        <f t="shared" si="39"/>
        <v>2258.5809415330696</v>
      </c>
      <c r="Q135" s="94">
        <f t="shared" si="39"/>
        <v>2258.5809415330696</v>
      </c>
      <c r="R135" s="94">
        <f t="shared" si="39"/>
        <v>2258.5809415330696</v>
      </c>
      <c r="S135" s="94">
        <f t="shared" si="39"/>
        <v>2258.5809415330696</v>
      </c>
      <c r="T135" s="195"/>
      <c r="U135" s="195"/>
      <c r="V135" s="195"/>
      <c r="W135" s="195"/>
      <c r="X135" s="195"/>
      <c r="Y135" s="22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5"/>
      <c r="BE135" s="195"/>
      <c r="BF135" s="195"/>
      <c r="BG135" s="195"/>
      <c r="BH135" s="195"/>
      <c r="BI135" s="195"/>
      <c r="BJ135" s="195"/>
      <c r="BK135" s="195"/>
      <c r="BL135" s="195"/>
      <c r="BM135" s="195"/>
      <c r="BN135" s="195"/>
      <c r="BO135" s="195"/>
      <c r="BP135" s="195"/>
      <c r="BQ135" s="195"/>
      <c r="BR135" s="195"/>
      <c r="BS135" s="195"/>
      <c r="BT135" s="195"/>
      <c r="BU135" s="195"/>
      <c r="BV135" s="195"/>
      <c r="BW135" s="195"/>
      <c r="BX135" s="195"/>
      <c r="BY135" s="195"/>
      <c r="BZ135" s="195"/>
      <c r="CA135" s="195"/>
      <c r="CB135" s="195"/>
      <c r="CC135" s="195"/>
      <c r="CD135" s="195"/>
      <c r="CE135" s="195"/>
      <c r="CF135" s="195"/>
      <c r="CG135" s="195"/>
      <c r="CH135" s="195"/>
      <c r="CI135" s="195"/>
      <c r="CJ135" s="195"/>
      <c r="CK135" s="195"/>
      <c r="CL135" s="195"/>
      <c r="CM135" s="195"/>
      <c r="CN135" s="195"/>
      <c r="CO135" s="195"/>
      <c r="CP135" s="195"/>
      <c r="CQ135" s="195"/>
      <c r="CR135" s="195"/>
      <c r="CS135" s="195"/>
      <c r="CT135" s="195"/>
      <c r="CU135" s="195"/>
      <c r="CV135" s="195"/>
      <c r="CW135" s="195"/>
      <c r="CX135" s="195"/>
      <c r="CY135" s="195"/>
      <c r="CZ135" s="195"/>
      <c r="DA135" s="195"/>
      <c r="DB135" s="195"/>
      <c r="DC135" s="195"/>
      <c r="DD135" s="195"/>
      <c r="DE135" s="195"/>
      <c r="DF135" s="195"/>
      <c r="DG135" s="195"/>
      <c r="DH135" s="195"/>
      <c r="DI135" s="195"/>
      <c r="DJ135" s="195"/>
      <c r="DK135" s="195"/>
      <c r="DL135" s="195"/>
      <c r="DM135" s="195"/>
      <c r="DN135" s="195"/>
      <c r="DO135" s="195"/>
      <c r="DP135" s="195"/>
      <c r="DQ135" s="195"/>
      <c r="DR135" s="195"/>
      <c r="DS135" s="195"/>
      <c r="DT135" s="195"/>
    </row>
    <row r="136" spans="1:167" ht="25.5" x14ac:dyDescent="0.2">
      <c r="C136" s="30" t="s">
        <v>397</v>
      </c>
      <c r="D136" s="94">
        <f>SUMIFS('Перечень инв.проектов ВО'!$U$3:$U$226,'Перечень инв.проектов ВО'!$AF$3:$AF$226,"кнс",'Перечень инв.проектов ВО'!$B$3:$B$226,C$90)</f>
        <v>46978.483583887857</v>
      </c>
      <c r="E136" s="51">
        <v>20</v>
      </c>
      <c r="F136" s="82">
        <f t="shared" si="41"/>
        <v>5</v>
      </c>
      <c r="G136" s="94"/>
      <c r="H136" s="94"/>
      <c r="I136" s="94"/>
      <c r="J136" s="94"/>
      <c r="K136" s="94"/>
      <c r="L136" s="94"/>
      <c r="M136" s="94"/>
      <c r="N136" s="94"/>
      <c r="O136" s="94"/>
      <c r="P136" s="94">
        <f t="shared" si="39"/>
        <v>2348.9241791943928</v>
      </c>
      <c r="Q136" s="94">
        <f t="shared" si="39"/>
        <v>2348.9241791943928</v>
      </c>
      <c r="R136" s="94">
        <f t="shared" si="39"/>
        <v>2348.9241791943928</v>
      </c>
      <c r="S136" s="94">
        <f t="shared" si="39"/>
        <v>2348.9241791943928</v>
      </c>
      <c r="T136" s="195"/>
      <c r="U136" s="195"/>
      <c r="V136" s="195"/>
      <c r="W136" s="195"/>
      <c r="X136" s="195"/>
      <c r="Y136" s="22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5"/>
      <c r="BE136" s="195"/>
      <c r="BF136" s="195"/>
      <c r="BG136" s="195"/>
      <c r="BH136" s="195"/>
      <c r="BI136" s="195"/>
      <c r="BJ136" s="195"/>
      <c r="BK136" s="195"/>
      <c r="BL136" s="195"/>
      <c r="BM136" s="195"/>
      <c r="BN136" s="195"/>
      <c r="BO136" s="195"/>
      <c r="BP136" s="195"/>
      <c r="BQ136" s="195"/>
      <c r="BR136" s="195"/>
      <c r="BS136" s="195"/>
      <c r="BT136" s="195"/>
      <c r="BU136" s="195"/>
      <c r="BV136" s="195"/>
      <c r="BW136" s="195"/>
      <c r="BX136" s="195"/>
      <c r="BY136" s="195"/>
      <c r="BZ136" s="195"/>
      <c r="CA136" s="195"/>
      <c r="CB136" s="195"/>
      <c r="CC136" s="195"/>
      <c r="CD136" s="195"/>
      <c r="CE136" s="195"/>
      <c r="CF136" s="195"/>
      <c r="CG136" s="195"/>
      <c r="CH136" s="195"/>
      <c r="CI136" s="195"/>
      <c r="CJ136" s="195"/>
      <c r="CK136" s="195"/>
      <c r="CL136" s="195"/>
      <c r="CM136" s="195"/>
      <c r="CN136" s="195"/>
      <c r="CO136" s="195"/>
      <c r="CP136" s="195"/>
      <c r="CQ136" s="195"/>
      <c r="CR136" s="195"/>
      <c r="CS136" s="195"/>
      <c r="CT136" s="195"/>
      <c r="CU136" s="195"/>
      <c r="CV136" s="195"/>
      <c r="CW136" s="195"/>
      <c r="CX136" s="195"/>
      <c r="CY136" s="195"/>
      <c r="CZ136" s="195"/>
      <c r="DA136" s="195"/>
      <c r="DB136" s="195"/>
      <c r="DC136" s="195"/>
      <c r="DD136" s="195"/>
      <c r="DE136" s="195"/>
      <c r="DF136" s="195"/>
      <c r="DG136" s="195"/>
      <c r="DH136" s="195"/>
      <c r="DI136" s="195"/>
      <c r="DJ136" s="195"/>
      <c r="DK136" s="195"/>
      <c r="DL136" s="195"/>
      <c r="DM136" s="195"/>
      <c r="DN136" s="195"/>
      <c r="DO136" s="195"/>
      <c r="DP136" s="195"/>
      <c r="DQ136" s="195"/>
      <c r="DR136" s="195"/>
      <c r="DS136" s="195"/>
      <c r="DT136" s="195"/>
    </row>
    <row r="137" spans="1:167" ht="25.5" x14ac:dyDescent="0.2">
      <c r="C137" s="30" t="s">
        <v>398</v>
      </c>
      <c r="D137" s="94">
        <f>SUMIFS('Перечень инв.проектов ВО'!$V$3:$V$226,'Перечень инв.проектов ВО'!$AF$3:$AF$226,"кнс",'Перечень инв.проектов ВО'!$B$3:$B$226,C$90)</f>
        <v>48857.622927243363</v>
      </c>
      <c r="E137" s="51">
        <v>20</v>
      </c>
      <c r="F137" s="82">
        <f t="shared" si="41"/>
        <v>5</v>
      </c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>
        <f t="shared" si="39"/>
        <v>2442.8811463621682</v>
      </c>
      <c r="R137" s="94">
        <f t="shared" si="39"/>
        <v>2442.8811463621682</v>
      </c>
      <c r="S137" s="94">
        <f t="shared" si="39"/>
        <v>2442.8811463621682</v>
      </c>
      <c r="T137" s="195"/>
      <c r="U137" s="195"/>
      <c r="V137" s="195"/>
      <c r="W137" s="195"/>
      <c r="X137" s="195"/>
      <c r="Y137" s="22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  <c r="BB137" s="195"/>
      <c r="BC137" s="195"/>
      <c r="BD137" s="195"/>
      <c r="BE137" s="195"/>
      <c r="BF137" s="195"/>
      <c r="BG137" s="195"/>
      <c r="BH137" s="195"/>
      <c r="BI137" s="195"/>
      <c r="BJ137" s="195"/>
      <c r="BK137" s="195"/>
      <c r="BL137" s="195"/>
      <c r="BM137" s="195"/>
      <c r="BN137" s="195"/>
      <c r="BO137" s="195"/>
      <c r="BP137" s="195"/>
      <c r="BQ137" s="195"/>
      <c r="BR137" s="195"/>
      <c r="BS137" s="195"/>
      <c r="BT137" s="195"/>
      <c r="BU137" s="195"/>
      <c r="BV137" s="195"/>
      <c r="BW137" s="195"/>
      <c r="BX137" s="195"/>
      <c r="BY137" s="195"/>
      <c r="BZ137" s="195"/>
      <c r="CA137" s="195"/>
      <c r="CB137" s="195"/>
      <c r="CC137" s="195"/>
      <c r="CD137" s="195"/>
      <c r="CE137" s="195"/>
      <c r="CF137" s="195"/>
      <c r="CG137" s="195"/>
      <c r="CH137" s="195"/>
      <c r="CI137" s="195"/>
      <c r="CJ137" s="195"/>
      <c r="CK137" s="195"/>
      <c r="CL137" s="195"/>
      <c r="CM137" s="195"/>
      <c r="CN137" s="195"/>
      <c r="CO137" s="195"/>
      <c r="CP137" s="195"/>
      <c r="CQ137" s="195"/>
      <c r="CR137" s="195"/>
      <c r="CS137" s="195"/>
      <c r="CT137" s="195"/>
      <c r="CU137" s="195"/>
      <c r="CV137" s="195"/>
      <c r="CW137" s="195"/>
      <c r="CX137" s="195"/>
      <c r="CY137" s="195"/>
      <c r="CZ137" s="195"/>
      <c r="DA137" s="195"/>
      <c r="DB137" s="195"/>
      <c r="DC137" s="195"/>
      <c r="DD137" s="195"/>
      <c r="DE137" s="195"/>
      <c r="DF137" s="195"/>
      <c r="DG137" s="195"/>
      <c r="DH137" s="195"/>
      <c r="DI137" s="195"/>
      <c r="DJ137" s="195"/>
      <c r="DK137" s="195"/>
      <c r="DL137" s="195"/>
      <c r="DM137" s="195"/>
      <c r="DN137" s="195"/>
      <c r="DO137" s="195"/>
      <c r="DP137" s="195"/>
      <c r="DQ137" s="195"/>
      <c r="DR137" s="195"/>
      <c r="DS137" s="195"/>
      <c r="DT137" s="195"/>
    </row>
    <row r="138" spans="1:167" ht="25.5" x14ac:dyDescent="0.2">
      <c r="C138" s="30" t="s">
        <v>399</v>
      </c>
      <c r="D138" s="94">
        <f>SUMIFS('Перечень инв.проектов ВО'!$W$3:$W$226,'Перечень инв.проектов ВО'!$AF$3:$AF$226,"кнс",'Перечень инв.проектов ВО'!$B$3:$B$226,C$90)</f>
        <v>42267.811011543723</v>
      </c>
      <c r="E138" s="51">
        <v>20</v>
      </c>
      <c r="F138" s="82">
        <f t="shared" si="41"/>
        <v>5</v>
      </c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>
        <f t="shared" si="39"/>
        <v>2113.3905505771863</v>
      </c>
      <c r="S138" s="94">
        <f t="shared" si="39"/>
        <v>2113.3905505771863</v>
      </c>
      <c r="T138" s="195"/>
      <c r="U138" s="195"/>
      <c r="V138" s="195"/>
      <c r="W138" s="195"/>
      <c r="X138" s="195"/>
      <c r="Y138" s="22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  <c r="BB138" s="195"/>
      <c r="BC138" s="195"/>
      <c r="BD138" s="195"/>
      <c r="BE138" s="195"/>
      <c r="BF138" s="195"/>
      <c r="BG138" s="195"/>
      <c r="BH138" s="195"/>
      <c r="BI138" s="195"/>
      <c r="BJ138" s="195"/>
      <c r="BK138" s="195"/>
      <c r="BL138" s="195"/>
      <c r="BM138" s="195"/>
      <c r="BN138" s="195"/>
      <c r="BO138" s="195"/>
      <c r="BP138" s="195"/>
      <c r="BQ138" s="195"/>
      <c r="BR138" s="195"/>
      <c r="BS138" s="195"/>
      <c r="BT138" s="195"/>
      <c r="BU138" s="195"/>
      <c r="BV138" s="195"/>
      <c r="BW138" s="195"/>
      <c r="BX138" s="195"/>
      <c r="BY138" s="195"/>
      <c r="BZ138" s="195"/>
      <c r="CA138" s="195"/>
      <c r="CB138" s="195"/>
      <c r="CC138" s="195"/>
      <c r="CD138" s="195"/>
      <c r="CE138" s="195"/>
      <c r="CF138" s="195"/>
      <c r="CG138" s="195"/>
      <c r="CH138" s="195"/>
      <c r="CI138" s="195"/>
      <c r="CJ138" s="195"/>
      <c r="CK138" s="195"/>
      <c r="CL138" s="195"/>
      <c r="CM138" s="195"/>
      <c r="CN138" s="195"/>
      <c r="CO138" s="195"/>
      <c r="CP138" s="195"/>
      <c r="CQ138" s="195"/>
      <c r="CR138" s="195"/>
      <c r="CS138" s="195"/>
      <c r="CT138" s="195"/>
      <c r="CU138" s="195"/>
      <c r="CV138" s="195"/>
      <c r="CW138" s="195"/>
      <c r="CX138" s="195"/>
      <c r="CY138" s="195"/>
      <c r="CZ138" s="195"/>
      <c r="DA138" s="195"/>
      <c r="DB138" s="195"/>
      <c r="DC138" s="195"/>
      <c r="DD138" s="195"/>
      <c r="DE138" s="195"/>
      <c r="DF138" s="195"/>
      <c r="DG138" s="195"/>
      <c r="DH138" s="195"/>
      <c r="DI138" s="195"/>
      <c r="DJ138" s="195"/>
      <c r="DK138" s="195"/>
      <c r="DL138" s="195"/>
      <c r="DM138" s="195"/>
      <c r="DN138" s="195"/>
      <c r="DO138" s="195"/>
      <c r="DP138" s="195"/>
      <c r="DQ138" s="195"/>
      <c r="DR138" s="195"/>
      <c r="DS138" s="195"/>
      <c r="DT138" s="195"/>
    </row>
    <row r="139" spans="1:167" ht="25.5" x14ac:dyDescent="0.2">
      <c r="C139" s="30" t="s">
        <v>400</v>
      </c>
      <c r="D139" s="94">
        <f>SUMIFS('Перечень инв.проектов ВО'!$X$3:$X$226,'Перечень инв.проектов ВО'!$AF$3:$AF$226,"кнс",'Перечень инв.проектов ВО'!$B$3:$B$226,C$90)</f>
        <v>43958.523452005473</v>
      </c>
      <c r="E139" s="51">
        <v>20</v>
      </c>
      <c r="F139" s="82">
        <f t="shared" si="41"/>
        <v>5</v>
      </c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>
        <f t="shared" si="39"/>
        <v>2197.9261726002737</v>
      </c>
      <c r="T139" s="195"/>
      <c r="U139" s="195"/>
      <c r="V139" s="195"/>
      <c r="W139" s="195"/>
      <c r="X139" s="195"/>
      <c r="Y139" s="22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  <c r="BB139" s="195"/>
      <c r="BC139" s="195"/>
      <c r="BD139" s="195"/>
      <c r="BE139" s="195"/>
      <c r="BF139" s="195"/>
      <c r="BG139" s="195"/>
      <c r="BH139" s="195"/>
      <c r="BI139" s="195"/>
      <c r="BJ139" s="195"/>
      <c r="BK139" s="195"/>
      <c r="BL139" s="195"/>
      <c r="BM139" s="195"/>
      <c r="BN139" s="195"/>
      <c r="BO139" s="195"/>
      <c r="BP139" s="195"/>
      <c r="BQ139" s="195"/>
      <c r="BR139" s="195"/>
      <c r="BS139" s="195"/>
      <c r="BT139" s="195"/>
      <c r="BU139" s="195"/>
      <c r="BV139" s="195"/>
      <c r="BW139" s="195"/>
      <c r="BX139" s="195"/>
      <c r="BY139" s="195"/>
      <c r="BZ139" s="195"/>
      <c r="CA139" s="195"/>
      <c r="CB139" s="195"/>
      <c r="CC139" s="195"/>
      <c r="CD139" s="195"/>
      <c r="CE139" s="195"/>
      <c r="CF139" s="195"/>
      <c r="CG139" s="195"/>
      <c r="CH139" s="195"/>
      <c r="CI139" s="195"/>
      <c r="CJ139" s="195"/>
      <c r="CK139" s="195"/>
      <c r="CL139" s="195"/>
      <c r="CM139" s="195"/>
      <c r="CN139" s="195"/>
      <c r="CO139" s="195"/>
      <c r="CP139" s="195"/>
      <c r="CQ139" s="195"/>
      <c r="CR139" s="195"/>
      <c r="CS139" s="195"/>
      <c r="CT139" s="195"/>
      <c r="CU139" s="195"/>
      <c r="CV139" s="195"/>
      <c r="CW139" s="195"/>
      <c r="CX139" s="195"/>
      <c r="CY139" s="195"/>
      <c r="CZ139" s="195"/>
      <c r="DA139" s="195"/>
      <c r="DB139" s="195"/>
      <c r="DC139" s="195"/>
      <c r="DD139" s="195"/>
      <c r="DE139" s="195"/>
      <c r="DF139" s="195"/>
      <c r="DG139" s="195"/>
      <c r="DH139" s="195"/>
      <c r="DI139" s="195"/>
      <c r="DJ139" s="195"/>
      <c r="DK139" s="195"/>
      <c r="DL139" s="195"/>
      <c r="DM139" s="195"/>
      <c r="DN139" s="195"/>
      <c r="DO139" s="195"/>
      <c r="DP139" s="195"/>
      <c r="DQ139" s="195"/>
      <c r="DR139" s="195"/>
      <c r="DS139" s="195"/>
      <c r="DT139" s="195"/>
    </row>
    <row r="140" spans="1:167" s="98" customFormat="1" ht="12.75" customHeight="1" x14ac:dyDescent="0.2">
      <c r="C140" s="407" t="s">
        <v>278</v>
      </c>
      <c r="D140" s="407"/>
      <c r="E140" s="407"/>
      <c r="F140" s="407"/>
      <c r="G140" s="97">
        <f>SUM(G127:G139)</f>
        <v>0</v>
      </c>
      <c r="H140" s="97">
        <f t="shared" ref="H140:S140" si="42">SUM(H127:H139)</f>
        <v>907.07050000000004</v>
      </c>
      <c r="I140" s="97">
        <f t="shared" si="42"/>
        <v>1781.6881576976816</v>
      </c>
      <c r="J140" s="97">
        <f t="shared" si="42"/>
        <v>2600.6907817032702</v>
      </c>
      <c r="K140" s="97">
        <f t="shared" si="42"/>
        <v>3745.2991106690824</v>
      </c>
      <c r="L140" s="97">
        <f t="shared" si="42"/>
        <v>5753.1693434555073</v>
      </c>
      <c r="M140" s="97">
        <f t="shared" si="42"/>
        <v>7841.3543855533899</v>
      </c>
      <c r="N140" s="97">
        <f t="shared" si="42"/>
        <v>10013.066829335188</v>
      </c>
      <c r="O140" s="97">
        <f t="shared" si="42"/>
        <v>12271.647770868258</v>
      </c>
      <c r="P140" s="97">
        <f t="shared" si="42"/>
        <v>14620.571950062651</v>
      </c>
      <c r="Q140" s="97">
        <f t="shared" si="42"/>
        <v>17063.453096424819</v>
      </c>
      <c r="R140" s="97">
        <f t="shared" si="42"/>
        <v>19176.843647002006</v>
      </c>
      <c r="S140" s="97">
        <f t="shared" si="42"/>
        <v>21374.769819602279</v>
      </c>
      <c r="T140" s="195"/>
      <c r="U140" s="195"/>
      <c r="V140" s="195"/>
      <c r="W140" s="195"/>
      <c r="X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  <c r="BB140" s="195"/>
      <c r="BC140" s="195"/>
      <c r="BD140" s="195"/>
      <c r="BE140" s="195"/>
      <c r="BF140" s="195"/>
      <c r="BG140" s="195"/>
      <c r="BH140" s="195"/>
      <c r="BI140" s="195"/>
      <c r="BJ140" s="195"/>
      <c r="BK140" s="195"/>
      <c r="BL140" s="195"/>
      <c r="BM140" s="195"/>
      <c r="BN140" s="195"/>
      <c r="BO140" s="195"/>
      <c r="BP140" s="195"/>
      <c r="BQ140" s="195"/>
      <c r="BR140" s="195"/>
      <c r="BS140" s="195"/>
      <c r="BT140" s="195"/>
      <c r="BU140" s="195"/>
      <c r="BV140" s="195"/>
      <c r="BW140" s="195"/>
      <c r="BX140" s="195"/>
      <c r="BY140" s="195"/>
      <c r="BZ140" s="195"/>
      <c r="CA140" s="195"/>
      <c r="CB140" s="195"/>
      <c r="CC140" s="195"/>
      <c r="CD140" s="195"/>
      <c r="CE140" s="195"/>
      <c r="CF140" s="195"/>
      <c r="CG140" s="195"/>
      <c r="CH140" s="195"/>
      <c r="CI140" s="195"/>
      <c r="CJ140" s="195"/>
      <c r="CK140" s="195"/>
      <c r="CL140" s="195"/>
      <c r="CM140" s="195"/>
      <c r="CN140" s="195"/>
      <c r="CO140" s="195"/>
      <c r="CP140" s="195"/>
      <c r="CQ140" s="195"/>
      <c r="CR140" s="195"/>
      <c r="CS140" s="195"/>
      <c r="CT140" s="195"/>
      <c r="CU140" s="195"/>
      <c r="CV140" s="195"/>
      <c r="CW140" s="195"/>
      <c r="CX140" s="195"/>
      <c r="CY140" s="195"/>
      <c r="CZ140" s="195"/>
      <c r="DA140" s="195"/>
      <c r="DB140" s="195"/>
      <c r="DC140" s="195"/>
      <c r="DD140" s="195"/>
      <c r="DE140" s="195"/>
      <c r="DF140" s="195"/>
      <c r="DG140" s="195"/>
      <c r="DH140" s="195"/>
      <c r="DI140" s="195"/>
      <c r="DJ140" s="195"/>
      <c r="DK140" s="195"/>
      <c r="DL140" s="195"/>
      <c r="DM140" s="195"/>
      <c r="DN140" s="195"/>
      <c r="DO140" s="195"/>
      <c r="DP140" s="195"/>
      <c r="DQ140" s="195"/>
      <c r="DR140" s="195"/>
      <c r="DS140" s="195"/>
      <c r="DT140" s="195"/>
    </row>
    <row r="141" spans="1:167" s="98" customFormat="1" ht="12.75" customHeight="1" x14ac:dyDescent="0.2">
      <c r="C141" s="418" t="s">
        <v>151</v>
      </c>
      <c r="D141" s="418"/>
      <c r="E141" s="418"/>
      <c r="F141" s="418"/>
      <c r="G141" s="99">
        <f t="shared" ref="G141:S141" si="43">SUM(G108,G124,G140)</f>
        <v>1665</v>
      </c>
      <c r="H141" s="99">
        <f t="shared" si="43"/>
        <v>10009.393266154884</v>
      </c>
      <c r="I141" s="99">
        <f t="shared" si="43"/>
        <v>41626.621128072264</v>
      </c>
      <c r="J141" s="99">
        <f t="shared" si="43"/>
        <v>46971.513438306334</v>
      </c>
      <c r="K141" s="99">
        <f t="shared" si="43"/>
        <v>50581.755535989774</v>
      </c>
      <c r="L141" s="99">
        <f t="shared" si="43"/>
        <v>57503.044030922531</v>
      </c>
      <c r="M141" s="99">
        <f t="shared" si="43"/>
        <v>64870.854878332597</v>
      </c>
      <c r="N141" s="99">
        <f t="shared" si="43"/>
        <v>72533.378226239074</v>
      </c>
      <c r="O141" s="99">
        <f t="shared" si="43"/>
        <v>80603.20995970181</v>
      </c>
      <c r="P141" s="99">
        <f t="shared" si="43"/>
        <v>88995.83517562304</v>
      </c>
      <c r="Q141" s="99">
        <f t="shared" si="43"/>
        <v>100534.04776663607</v>
      </c>
      <c r="R141" s="99">
        <f t="shared" si="43"/>
        <v>112106.58288645015</v>
      </c>
      <c r="S141" s="99">
        <f t="shared" si="43"/>
        <v>121102.85014143104</v>
      </c>
      <c r="T141" s="195"/>
      <c r="U141" s="195"/>
      <c r="V141" s="195"/>
      <c r="W141" s="195"/>
      <c r="X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  <c r="BB141" s="195"/>
      <c r="BC141" s="195"/>
      <c r="BD141" s="195"/>
      <c r="BE141" s="195"/>
      <c r="BF141" s="195"/>
      <c r="BG141" s="195"/>
      <c r="BH141" s="195"/>
      <c r="BI141" s="195"/>
      <c r="BJ141" s="195"/>
      <c r="BK141" s="195"/>
      <c r="BL141" s="195"/>
      <c r="BM141" s="195"/>
      <c r="BN141" s="195"/>
      <c r="BO141" s="195"/>
      <c r="BP141" s="195"/>
      <c r="BQ141" s="195"/>
      <c r="BR141" s="195"/>
      <c r="BS141" s="195"/>
      <c r="BT141" s="195"/>
      <c r="BU141" s="195"/>
      <c r="BV141" s="195"/>
      <c r="BW141" s="195"/>
      <c r="BX141" s="195"/>
      <c r="BY141" s="195"/>
      <c r="BZ141" s="195"/>
      <c r="CA141" s="195"/>
      <c r="CB141" s="195"/>
      <c r="CC141" s="195"/>
      <c r="CD141" s="195"/>
      <c r="CE141" s="195"/>
      <c r="CF141" s="195"/>
      <c r="CG141" s="195"/>
      <c r="CH141" s="195"/>
      <c r="CI141" s="195"/>
      <c r="CJ141" s="195"/>
      <c r="CK141" s="195"/>
      <c r="CL141" s="195"/>
      <c r="CM141" s="195"/>
      <c r="CN141" s="195"/>
      <c r="CO141" s="195"/>
      <c r="CP141" s="195"/>
      <c r="CQ141" s="195"/>
      <c r="CR141" s="195"/>
      <c r="CS141" s="195"/>
      <c r="CT141" s="195"/>
      <c r="CU141" s="195"/>
      <c r="CV141" s="195"/>
      <c r="CW141" s="195"/>
      <c r="CX141" s="195"/>
      <c r="CY141" s="195"/>
      <c r="CZ141" s="195"/>
      <c r="DA141" s="195"/>
      <c r="DB141" s="195"/>
      <c r="DC141" s="195"/>
      <c r="DD141" s="195"/>
      <c r="DE141" s="195"/>
      <c r="DF141" s="195"/>
      <c r="DG141" s="195"/>
      <c r="DH141" s="195"/>
      <c r="DI141" s="195"/>
      <c r="DJ141" s="195"/>
      <c r="DK141" s="195"/>
      <c r="DL141" s="195"/>
      <c r="DM141" s="195"/>
      <c r="DN141" s="195"/>
      <c r="DO141" s="195"/>
      <c r="DP141" s="195"/>
      <c r="DQ141" s="195"/>
      <c r="DR141" s="195"/>
      <c r="DS141" s="195"/>
      <c r="DT141" s="195"/>
    </row>
    <row r="143" spans="1:167" x14ac:dyDescent="0.2">
      <c r="D143" s="23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  <c r="BB143" s="195"/>
      <c r="BC143" s="195"/>
      <c r="BD143" s="195"/>
      <c r="BE143" s="195"/>
      <c r="BF143" s="195"/>
      <c r="BG143" s="195"/>
      <c r="BH143" s="195"/>
      <c r="BI143" s="195"/>
      <c r="BJ143" s="195"/>
      <c r="BK143" s="195"/>
      <c r="BL143" s="195"/>
      <c r="BM143" s="195"/>
      <c r="BN143" s="195"/>
      <c r="BO143" s="195"/>
      <c r="BP143" s="195"/>
      <c r="BQ143" s="195"/>
      <c r="BR143" s="195"/>
      <c r="BS143" s="195"/>
      <c r="BT143" s="195"/>
      <c r="BU143" s="195"/>
    </row>
    <row r="144" spans="1:167" x14ac:dyDescent="0.2">
      <c r="A144" s="93">
        <f>SUM(D147:D151,AA147:AA151,AY147:AY151,BW147:BW151,CU147:CU151,DS147:DS151,EQ147:EQ151,FA147:FA151,FK147:FK151)-'Перечень инв.проектов ЭЭ'!Z56</f>
        <v>-13993.839999999967</v>
      </c>
      <c r="C144" s="93" t="str">
        <f>Фин.потребности!C31</f>
        <v>АО «ЮРЭСК»</v>
      </c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  <c r="BB144" s="195"/>
      <c r="BC144" s="195"/>
      <c r="BD144" s="195"/>
      <c r="BE144" s="195"/>
      <c r="BF144" s="195"/>
      <c r="BG144" s="195"/>
      <c r="BH144" s="195"/>
      <c r="BI144" s="195"/>
      <c r="BJ144" s="195"/>
      <c r="BK144" s="195"/>
      <c r="BL144" s="195"/>
      <c r="BM144" s="195"/>
      <c r="BN144" s="195"/>
      <c r="BO144" s="195"/>
      <c r="BP144" s="195"/>
      <c r="BQ144" s="195"/>
      <c r="BR144" s="195"/>
      <c r="BS144" s="195"/>
      <c r="BT144" s="195"/>
      <c r="BU144" s="195"/>
      <c r="BV144" s="195"/>
      <c r="BW144" s="195"/>
      <c r="BX144" s="195"/>
      <c r="BY144" s="195"/>
      <c r="BZ144" s="195"/>
      <c r="CA144" s="195"/>
      <c r="CB144" s="195"/>
      <c r="CC144" s="195"/>
      <c r="CD144" s="195"/>
      <c r="CE144" s="195"/>
      <c r="CF144" s="195"/>
      <c r="CG144" s="195"/>
      <c r="CH144" s="195"/>
      <c r="CI144" s="195"/>
      <c r="CJ144" s="195"/>
      <c r="CK144" s="195"/>
      <c r="CL144" s="195"/>
      <c r="CM144" s="195"/>
      <c r="CN144" s="195"/>
      <c r="CO144" s="195"/>
      <c r="CP144" s="195"/>
      <c r="CQ144" s="195"/>
      <c r="CR144" s="195"/>
      <c r="CS144" s="195"/>
      <c r="CT144" s="195"/>
      <c r="CU144" s="195"/>
      <c r="CV144" s="195"/>
      <c r="CW144" s="195"/>
      <c r="CX144" s="195"/>
      <c r="CY144" s="195"/>
      <c r="CZ144" s="195"/>
      <c r="DA144" s="195"/>
      <c r="DB144" s="195"/>
      <c r="DC144" s="195"/>
      <c r="DD144" s="195"/>
      <c r="DE144" s="195"/>
      <c r="DF144" s="195"/>
      <c r="DG144" s="195"/>
      <c r="DH144" s="195"/>
      <c r="DI144" s="195"/>
      <c r="DJ144" s="195"/>
      <c r="DK144" s="195"/>
      <c r="DL144" s="195"/>
      <c r="DM144" s="195"/>
      <c r="DN144" s="195"/>
      <c r="DO144" s="195"/>
      <c r="DP144" s="195"/>
      <c r="DQ144" s="195"/>
      <c r="DR144" s="195"/>
      <c r="DS144" s="195"/>
      <c r="DT144" s="195"/>
      <c r="DU144" s="195"/>
      <c r="DV144" s="195"/>
      <c r="DW144" s="195"/>
      <c r="DX144" s="195"/>
      <c r="DY144" s="195"/>
      <c r="DZ144" s="195"/>
      <c r="EA144" s="195"/>
      <c r="EB144" s="195"/>
      <c r="EC144" s="195"/>
      <c r="ED144" s="195"/>
      <c r="EE144" s="195"/>
      <c r="EF144" s="195"/>
      <c r="EG144" s="195"/>
      <c r="EH144" s="195"/>
      <c r="EI144" s="195"/>
      <c r="EJ144" s="195"/>
      <c r="EK144" s="195"/>
      <c r="EL144" s="195"/>
      <c r="EM144" s="195"/>
      <c r="EN144" s="195"/>
      <c r="EO144" s="195"/>
      <c r="EP144" s="195"/>
      <c r="EQ144" s="195"/>
      <c r="ER144" s="195"/>
      <c r="ES144" s="195"/>
      <c r="ET144" s="195"/>
      <c r="EU144" s="195"/>
      <c r="EV144" s="195"/>
      <c r="EW144" s="195"/>
      <c r="EX144" s="195"/>
      <c r="EY144" s="195"/>
      <c r="EZ144" s="195"/>
      <c r="FA144" s="195"/>
      <c r="FB144" s="195"/>
      <c r="FC144" s="195"/>
      <c r="FD144" s="195"/>
      <c r="FK144" s="120"/>
    </row>
    <row r="145" spans="1:174" ht="12.75" customHeight="1" x14ac:dyDescent="0.2">
      <c r="A145" s="26" t="s">
        <v>288</v>
      </c>
      <c r="C145" s="420" t="s">
        <v>267</v>
      </c>
      <c r="D145" s="411" t="s">
        <v>268</v>
      </c>
      <c r="E145" s="411" t="s">
        <v>269</v>
      </c>
      <c r="F145" s="411" t="s">
        <v>270</v>
      </c>
      <c r="G145" s="415" t="s">
        <v>271</v>
      </c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7"/>
      <c r="T145" s="195"/>
      <c r="U145" s="195"/>
      <c r="V145" s="195"/>
      <c r="W145" s="195"/>
      <c r="X145" s="195"/>
      <c r="Y145" s="22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  <c r="BB145" s="195"/>
      <c r="BC145" s="195"/>
      <c r="BD145" s="195"/>
      <c r="BE145" s="195"/>
      <c r="BF145" s="195"/>
      <c r="BG145" s="195"/>
      <c r="BH145" s="195"/>
      <c r="BI145" s="195"/>
      <c r="BJ145" s="195"/>
      <c r="BK145" s="195"/>
      <c r="BL145" s="195"/>
      <c r="BM145" s="195"/>
      <c r="BN145" s="195"/>
      <c r="BO145" s="195"/>
      <c r="BP145" s="195"/>
      <c r="BQ145" s="195"/>
      <c r="BR145" s="195"/>
      <c r="BS145" s="195"/>
      <c r="BT145" s="195"/>
      <c r="BU145" s="195"/>
      <c r="BV145" s="195"/>
      <c r="BW145" s="195"/>
      <c r="BX145" s="195"/>
      <c r="BY145" s="195"/>
      <c r="BZ145" s="195"/>
      <c r="CA145" s="195"/>
      <c r="CB145" s="195"/>
      <c r="CC145" s="195"/>
      <c r="CD145" s="195"/>
      <c r="CE145" s="195"/>
      <c r="CF145" s="195"/>
      <c r="CG145" s="195"/>
      <c r="CH145" s="195"/>
      <c r="CI145" s="195"/>
      <c r="CJ145" s="195"/>
      <c r="CK145" s="195"/>
      <c r="CL145" s="195"/>
      <c r="CM145" s="195"/>
      <c r="CN145" s="195"/>
      <c r="CO145" s="195"/>
      <c r="CP145" s="195"/>
      <c r="CQ145" s="195"/>
      <c r="CR145" s="195"/>
      <c r="CS145" s="195"/>
      <c r="CT145" s="195"/>
      <c r="CU145" s="195"/>
      <c r="CV145" s="195"/>
      <c r="CW145" s="195"/>
      <c r="CX145" s="195"/>
      <c r="CY145" s="195"/>
      <c r="CZ145" s="195"/>
      <c r="DA145" s="195"/>
      <c r="DB145" s="195"/>
      <c r="DC145" s="195"/>
      <c r="DD145" s="195"/>
      <c r="DE145" s="195"/>
      <c r="DF145" s="195"/>
      <c r="DG145" s="195"/>
      <c r="DH145" s="195"/>
      <c r="DI145" s="195"/>
      <c r="DJ145" s="195"/>
      <c r="DK145" s="195"/>
      <c r="DL145" s="195"/>
      <c r="DM145" s="195"/>
      <c r="DN145" s="195"/>
      <c r="DO145" s="195"/>
      <c r="DP145" s="195"/>
      <c r="DQ145" s="195"/>
      <c r="DR145" s="195"/>
      <c r="DS145" s="195"/>
      <c r="DT145" s="195"/>
      <c r="DU145" s="195"/>
      <c r="DV145" s="195"/>
      <c r="DW145" s="195"/>
      <c r="DX145" s="195"/>
      <c r="DY145" s="195"/>
      <c r="DZ145" s="195"/>
      <c r="EA145" s="195"/>
      <c r="EB145" s="195"/>
      <c r="EC145" s="195"/>
      <c r="ED145" s="195"/>
      <c r="EE145" s="195"/>
      <c r="EF145" s="195"/>
      <c r="EG145" s="195"/>
      <c r="EH145" s="195"/>
      <c r="EI145" s="195"/>
      <c r="EJ145" s="195"/>
      <c r="EK145" s="195"/>
      <c r="EL145" s="195"/>
      <c r="EM145" s="195"/>
      <c r="EN145" s="195"/>
      <c r="EO145" s="195"/>
      <c r="EP145" s="195"/>
      <c r="EQ145" s="195"/>
      <c r="ER145" s="195"/>
      <c r="ES145" s="195"/>
      <c r="ET145" s="195"/>
      <c r="EU145" s="195"/>
      <c r="EV145" s="195"/>
      <c r="EW145" s="195"/>
      <c r="EX145" s="195"/>
      <c r="EY145" s="195"/>
      <c r="EZ145" s="195"/>
      <c r="FA145" s="195"/>
      <c r="FB145" s="195"/>
      <c r="FC145" s="195"/>
      <c r="FD145" s="195"/>
      <c r="FE145" s="128"/>
      <c r="FF145" s="128"/>
      <c r="FG145" s="128"/>
      <c r="FH145" s="128"/>
      <c r="FJ145" s="127"/>
      <c r="FK145" s="127"/>
      <c r="FL145" s="127"/>
      <c r="FM145" s="127"/>
      <c r="FN145" s="128"/>
      <c r="FO145" s="128"/>
      <c r="FP145" s="128"/>
      <c r="FQ145" s="128"/>
      <c r="FR145" s="128"/>
    </row>
    <row r="146" spans="1:174" x14ac:dyDescent="0.2">
      <c r="C146" s="411"/>
      <c r="D146" s="411"/>
      <c r="E146" s="411"/>
      <c r="F146" s="411"/>
      <c r="G146" s="5">
        <v>2023</v>
      </c>
      <c r="H146" s="5">
        <v>2024</v>
      </c>
      <c r="I146" s="5">
        <v>2025</v>
      </c>
      <c r="J146" s="5">
        <v>2026</v>
      </c>
      <c r="K146" s="5">
        <v>2027</v>
      </c>
      <c r="L146" s="5">
        <v>2028</v>
      </c>
      <c r="M146" s="5">
        <v>2029</v>
      </c>
      <c r="N146" s="5">
        <v>2030</v>
      </c>
      <c r="O146" s="5">
        <v>2031</v>
      </c>
      <c r="P146" s="5">
        <v>2032</v>
      </c>
      <c r="Q146" s="5">
        <v>2033</v>
      </c>
      <c r="R146" s="5">
        <v>2034</v>
      </c>
      <c r="S146" s="5">
        <v>2035</v>
      </c>
      <c r="T146" s="195"/>
      <c r="U146" s="195"/>
      <c r="V146" s="195"/>
      <c r="W146" s="195"/>
      <c r="X146" s="195"/>
      <c r="Y146" s="22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  <c r="BB146" s="195"/>
      <c r="BC146" s="195"/>
      <c r="BD146" s="195"/>
      <c r="BE146" s="195"/>
      <c r="BF146" s="195"/>
      <c r="BG146" s="195"/>
      <c r="BH146" s="195"/>
      <c r="BI146" s="195"/>
      <c r="BJ146" s="195"/>
      <c r="BK146" s="195"/>
      <c r="BL146" s="195"/>
      <c r="BM146" s="195"/>
      <c r="BN146" s="195"/>
      <c r="BO146" s="195"/>
      <c r="BP146" s="195"/>
      <c r="BQ146" s="195"/>
      <c r="BR146" s="195"/>
      <c r="BS146" s="195"/>
      <c r="BT146" s="195"/>
      <c r="BU146" s="195"/>
      <c r="BV146" s="195"/>
      <c r="BW146" s="195"/>
      <c r="BX146" s="195"/>
      <c r="BY146" s="195"/>
      <c r="BZ146" s="195"/>
      <c r="CA146" s="195"/>
      <c r="CB146" s="195"/>
      <c r="CC146" s="195"/>
      <c r="CD146" s="195"/>
      <c r="CE146" s="195"/>
      <c r="CF146" s="195"/>
      <c r="CG146" s="195"/>
      <c r="CH146" s="195"/>
      <c r="CI146" s="195"/>
      <c r="CJ146" s="195"/>
      <c r="CK146" s="195"/>
      <c r="CL146" s="195"/>
      <c r="CM146" s="195"/>
      <c r="CN146" s="195"/>
      <c r="CO146" s="195"/>
      <c r="CP146" s="195"/>
      <c r="CQ146" s="195"/>
      <c r="CR146" s="195"/>
      <c r="CS146" s="195"/>
      <c r="CT146" s="195"/>
      <c r="CU146" s="195"/>
      <c r="CV146" s="195"/>
      <c r="CW146" s="195"/>
      <c r="CX146" s="195"/>
      <c r="CY146" s="195"/>
      <c r="CZ146" s="195"/>
      <c r="DA146" s="195"/>
      <c r="DB146" s="195"/>
      <c r="DC146" s="195"/>
      <c r="DD146" s="195"/>
      <c r="DE146" s="195"/>
      <c r="DF146" s="195"/>
      <c r="DG146" s="195"/>
      <c r="DH146" s="195"/>
      <c r="DI146" s="195"/>
      <c r="DJ146" s="195"/>
      <c r="DK146" s="195"/>
      <c r="DL146" s="195"/>
      <c r="DM146" s="195"/>
      <c r="DN146" s="195"/>
      <c r="DO146" s="195"/>
      <c r="DP146" s="195"/>
      <c r="DQ146" s="195"/>
      <c r="DR146" s="195"/>
      <c r="DS146" s="195"/>
      <c r="DT146" s="195"/>
      <c r="DU146" s="195"/>
      <c r="DV146" s="195"/>
      <c r="DW146" s="195"/>
      <c r="DX146" s="195"/>
      <c r="DY146" s="195"/>
      <c r="DZ146" s="195"/>
      <c r="EA146" s="195"/>
      <c r="EB146" s="195"/>
      <c r="EC146" s="195"/>
      <c r="ED146" s="195"/>
      <c r="EE146" s="195"/>
      <c r="EF146" s="195"/>
      <c r="EG146" s="195"/>
      <c r="EH146" s="195"/>
      <c r="EI146" s="195"/>
      <c r="EJ146" s="195"/>
      <c r="EK146" s="195"/>
      <c r="EL146" s="195"/>
      <c r="EM146" s="195"/>
      <c r="EN146" s="195"/>
      <c r="EO146" s="195"/>
      <c r="EP146" s="195"/>
      <c r="EQ146" s="195"/>
      <c r="ER146" s="195"/>
      <c r="ES146" s="195"/>
      <c r="ET146" s="195"/>
      <c r="EU146" s="195"/>
      <c r="EV146" s="195"/>
      <c r="EW146" s="195"/>
      <c r="EX146" s="195"/>
      <c r="EY146" s="195"/>
      <c r="EZ146" s="195"/>
      <c r="FA146" s="195"/>
      <c r="FB146" s="195"/>
      <c r="FC146" s="195"/>
      <c r="FD146" s="195"/>
      <c r="FE146" s="121"/>
      <c r="FF146" s="121"/>
      <c r="FG146" s="121"/>
      <c r="FH146" s="121"/>
      <c r="FJ146" s="127"/>
      <c r="FK146" s="127"/>
      <c r="FL146" s="127"/>
      <c r="FM146" s="127"/>
      <c r="FN146" s="121"/>
      <c r="FO146" s="121"/>
      <c r="FP146" s="121"/>
      <c r="FQ146" s="121"/>
      <c r="FR146" s="121"/>
    </row>
    <row r="147" spans="1:174" ht="45.75" customHeight="1" x14ac:dyDescent="0.2">
      <c r="C147" s="30" t="s">
        <v>274</v>
      </c>
      <c r="D147" s="94">
        <f>SUMIFS('Перечень инв.проектов ЭЭ'!$M$3:$M$308,'Перечень инв.проектов ЭЭ'!$B$3:$B$308,C$144)</f>
        <v>127231.81000000001</v>
      </c>
      <c r="E147" s="51">
        <v>30</v>
      </c>
      <c r="F147" s="83">
        <f>100/E147</f>
        <v>3.3333333333333335</v>
      </c>
      <c r="G147" s="94">
        <f>D147*F147/100</f>
        <v>4241.0603333333338</v>
      </c>
      <c r="H147" s="94">
        <f>D147*F147/100</f>
        <v>4241.0603333333338</v>
      </c>
      <c r="I147" s="94">
        <f>D147*F147/100</f>
        <v>4241.0603333333338</v>
      </c>
      <c r="J147" s="94">
        <f>D147*F147/100</f>
        <v>4241.0603333333338</v>
      </c>
      <c r="K147" s="94"/>
      <c r="L147" s="94"/>
      <c r="M147" s="94"/>
      <c r="N147" s="94"/>
      <c r="O147" s="94"/>
      <c r="P147" s="94"/>
      <c r="Q147" s="94"/>
      <c r="R147" s="94"/>
      <c r="S147" s="94"/>
      <c r="T147" s="195"/>
      <c r="U147" s="195"/>
      <c r="V147" s="195"/>
      <c r="W147" s="195"/>
      <c r="X147" s="195"/>
      <c r="Y147" s="22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  <c r="BB147" s="195"/>
      <c r="BC147" s="195"/>
      <c r="BD147" s="195"/>
      <c r="BE147" s="195"/>
      <c r="BF147" s="195"/>
      <c r="BG147" s="195"/>
      <c r="BH147" s="195"/>
      <c r="BI147" s="195"/>
      <c r="BJ147" s="195"/>
      <c r="BK147" s="195"/>
      <c r="BL147" s="195"/>
      <c r="BM147" s="195"/>
      <c r="BN147" s="195"/>
      <c r="BO147" s="195"/>
      <c r="BP147" s="195"/>
      <c r="BQ147" s="195"/>
      <c r="BR147" s="195"/>
      <c r="BS147" s="195"/>
      <c r="BT147" s="195"/>
      <c r="BU147" s="195"/>
      <c r="BV147" s="195"/>
      <c r="BW147" s="195"/>
      <c r="BX147" s="195"/>
      <c r="BY147" s="195"/>
      <c r="BZ147" s="195"/>
      <c r="CA147" s="195"/>
      <c r="CB147" s="195"/>
      <c r="CC147" s="195"/>
      <c r="CD147" s="195"/>
      <c r="CE147" s="195"/>
      <c r="CF147" s="195"/>
      <c r="CG147" s="195"/>
      <c r="CH147" s="195"/>
      <c r="CI147" s="195"/>
      <c r="CJ147" s="195"/>
      <c r="CK147" s="195"/>
      <c r="CL147" s="195"/>
      <c r="CM147" s="195"/>
      <c r="CN147" s="195"/>
      <c r="CO147" s="195"/>
      <c r="CP147" s="195"/>
      <c r="CQ147" s="195"/>
      <c r="CR147" s="195"/>
      <c r="CS147" s="195"/>
      <c r="CT147" s="195"/>
      <c r="CU147" s="195"/>
      <c r="CV147" s="195"/>
      <c r="CW147" s="195"/>
      <c r="CX147" s="195"/>
      <c r="CY147" s="195"/>
      <c r="CZ147" s="195"/>
      <c r="DA147" s="195"/>
      <c r="DB147" s="195"/>
      <c r="DC147" s="195"/>
      <c r="DD147" s="195"/>
      <c r="DE147" s="195"/>
      <c r="DF147" s="195"/>
      <c r="DG147" s="195"/>
      <c r="DH147" s="195"/>
      <c r="DI147" s="195"/>
      <c r="DJ147" s="195"/>
      <c r="DK147" s="195"/>
      <c r="DL147" s="195"/>
      <c r="DM147" s="195"/>
      <c r="DN147" s="195"/>
      <c r="DO147" s="195"/>
      <c r="DP147" s="195"/>
      <c r="DQ147" s="195"/>
      <c r="DR147" s="195"/>
      <c r="DS147" s="195"/>
      <c r="DT147" s="195"/>
      <c r="DU147" s="195"/>
      <c r="DV147" s="195"/>
      <c r="DW147" s="195"/>
      <c r="DX147" s="195"/>
      <c r="DY147" s="195"/>
      <c r="DZ147" s="195"/>
      <c r="EA147" s="195"/>
      <c r="EB147" s="195"/>
      <c r="EC147" s="195"/>
      <c r="ED147" s="195"/>
      <c r="EE147" s="195"/>
      <c r="EF147" s="195"/>
      <c r="EG147" s="195"/>
      <c r="EH147" s="195"/>
      <c r="EI147" s="195"/>
      <c r="EJ147" s="195"/>
      <c r="EK147" s="195"/>
      <c r="EL147" s="195"/>
      <c r="EM147" s="195"/>
      <c r="EN147" s="195"/>
      <c r="EO147" s="195"/>
      <c r="EP147" s="195"/>
      <c r="EQ147" s="195"/>
      <c r="ER147" s="195"/>
      <c r="ES147" s="195"/>
      <c r="ET147" s="195"/>
      <c r="EU147" s="195"/>
      <c r="EV147" s="195"/>
      <c r="EW147" s="195"/>
      <c r="EX147" s="195"/>
      <c r="EY147" s="195"/>
      <c r="EZ147" s="195"/>
      <c r="FA147" s="195"/>
      <c r="FB147" s="195"/>
      <c r="FC147" s="195"/>
      <c r="FD147" s="195"/>
      <c r="FE147" s="123"/>
      <c r="FF147" s="123"/>
      <c r="FG147" s="123"/>
      <c r="FH147" s="123"/>
      <c r="FJ147" s="122"/>
      <c r="FK147" s="123"/>
      <c r="FL147" s="131"/>
      <c r="FM147" s="132"/>
      <c r="FN147" s="123"/>
      <c r="FO147" s="123"/>
      <c r="FP147" s="123"/>
      <c r="FQ147" s="123"/>
      <c r="FR147" s="123"/>
    </row>
    <row r="148" spans="1:174" ht="24" customHeight="1" x14ac:dyDescent="0.2">
      <c r="C148" s="30" t="s">
        <v>275</v>
      </c>
      <c r="D148" s="94">
        <f>SUMIFS('Перечень инв.проектов ЭЭ'!$N$3:$N$308,'Перечень инв.проектов ЭЭ'!$B$3:$B$308,C$144)</f>
        <v>97616.54</v>
      </c>
      <c r="E148" s="51">
        <v>30</v>
      </c>
      <c r="F148" s="83">
        <f>100/E148</f>
        <v>3.3333333333333335</v>
      </c>
      <c r="G148" s="94">
        <f>D148*F148/100</f>
        <v>3253.8846666666668</v>
      </c>
      <c r="H148" s="94">
        <f>D148*F148/100</f>
        <v>3253.8846666666668</v>
      </c>
      <c r="I148" s="94">
        <f>D148*F148/100</f>
        <v>3253.8846666666668</v>
      </c>
      <c r="J148" s="94">
        <f>D148*F148/100</f>
        <v>3253.8846666666668</v>
      </c>
      <c r="K148" s="94"/>
      <c r="L148" s="94"/>
      <c r="M148" s="94"/>
      <c r="N148" s="94"/>
      <c r="O148" s="94"/>
      <c r="P148" s="94"/>
      <c r="Q148" s="94"/>
      <c r="R148" s="94"/>
      <c r="S148" s="94"/>
      <c r="T148" s="195"/>
      <c r="U148" s="195"/>
      <c r="V148" s="195"/>
      <c r="W148" s="195"/>
      <c r="X148" s="195"/>
      <c r="Y148" s="22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  <c r="BB148" s="195"/>
      <c r="BC148" s="195"/>
      <c r="BD148" s="195"/>
      <c r="BE148" s="195"/>
      <c r="BF148" s="195"/>
      <c r="BG148" s="195"/>
      <c r="BH148" s="195"/>
      <c r="BI148" s="195"/>
      <c r="BJ148" s="195"/>
      <c r="BK148" s="195"/>
      <c r="BL148" s="195"/>
      <c r="BM148" s="195"/>
      <c r="BN148" s="195"/>
      <c r="BO148" s="195"/>
      <c r="BP148" s="195"/>
      <c r="BQ148" s="195"/>
      <c r="BR148" s="195"/>
      <c r="BS148" s="195"/>
      <c r="BT148" s="195"/>
      <c r="BU148" s="195"/>
      <c r="BV148" s="195"/>
      <c r="BW148" s="195"/>
      <c r="BX148" s="195"/>
      <c r="BY148" s="195"/>
      <c r="BZ148" s="195"/>
      <c r="CA148" s="195"/>
      <c r="CB148" s="195"/>
      <c r="CC148" s="195"/>
      <c r="CD148" s="195"/>
      <c r="CE148" s="195"/>
      <c r="CF148" s="195"/>
      <c r="CG148" s="195"/>
      <c r="CH148" s="195"/>
      <c r="CI148" s="195"/>
      <c r="CJ148" s="195"/>
      <c r="CK148" s="195"/>
      <c r="CL148" s="195"/>
      <c r="CM148" s="195"/>
      <c r="CN148" s="195"/>
      <c r="CO148" s="195"/>
      <c r="CP148" s="195"/>
      <c r="CQ148" s="195"/>
      <c r="CR148" s="195"/>
      <c r="CS148" s="195"/>
      <c r="CT148" s="195"/>
      <c r="CU148" s="195"/>
      <c r="CV148" s="195"/>
      <c r="CW148" s="195"/>
      <c r="CX148" s="195"/>
      <c r="CY148" s="195"/>
      <c r="CZ148" s="195"/>
      <c r="DA148" s="195"/>
      <c r="DB148" s="195"/>
      <c r="DC148" s="195"/>
      <c r="DD148" s="195"/>
      <c r="DE148" s="195"/>
      <c r="DF148" s="195"/>
      <c r="DG148" s="195"/>
      <c r="DH148" s="195"/>
      <c r="DI148" s="195"/>
      <c r="DJ148" s="195"/>
      <c r="DK148" s="195"/>
      <c r="DL148" s="195"/>
      <c r="DM148" s="195"/>
      <c r="DN148" s="195"/>
      <c r="DO148" s="195"/>
      <c r="DP148" s="195"/>
      <c r="DQ148" s="195"/>
      <c r="DR148" s="195"/>
      <c r="DS148" s="195"/>
      <c r="DT148" s="195"/>
      <c r="DU148" s="195"/>
      <c r="DV148" s="195"/>
      <c r="DW148" s="195"/>
      <c r="DX148" s="195"/>
      <c r="DY148" s="195"/>
      <c r="DZ148" s="195"/>
      <c r="EA148" s="195"/>
      <c r="EB148" s="195"/>
      <c r="EC148" s="195"/>
      <c r="ED148" s="195"/>
      <c r="EE148" s="195"/>
      <c r="EF148" s="195"/>
      <c r="EG148" s="195"/>
      <c r="EH148" s="195"/>
      <c r="EI148" s="195"/>
      <c r="EJ148" s="195"/>
      <c r="EK148" s="195"/>
      <c r="EL148" s="195"/>
      <c r="EM148" s="195"/>
      <c r="EN148" s="195"/>
      <c r="EO148" s="195"/>
      <c r="EP148" s="195"/>
      <c r="EQ148" s="195"/>
      <c r="ER148" s="195"/>
      <c r="ES148" s="195"/>
      <c r="ET148" s="195"/>
      <c r="EU148" s="195"/>
      <c r="EV148" s="195"/>
      <c r="EW148" s="195"/>
      <c r="EX148" s="195"/>
      <c r="EY148" s="195"/>
      <c r="EZ148" s="195"/>
      <c r="FA148" s="195"/>
      <c r="FB148" s="195"/>
      <c r="FC148" s="195"/>
      <c r="FD148" s="195"/>
      <c r="FE148" s="123"/>
      <c r="FF148" s="123"/>
      <c r="FG148" s="123"/>
      <c r="FH148" s="123"/>
      <c r="FJ148" s="122"/>
      <c r="FK148" s="123"/>
      <c r="FL148" s="131"/>
      <c r="FM148" s="132"/>
      <c r="FN148" s="123"/>
      <c r="FO148" s="123"/>
      <c r="FP148" s="123"/>
      <c r="FQ148" s="123"/>
      <c r="FR148" s="123"/>
    </row>
    <row r="149" spans="1:174" ht="24" customHeight="1" x14ac:dyDescent="0.2">
      <c r="C149" s="30" t="s">
        <v>276</v>
      </c>
      <c r="D149" s="94">
        <f>SUMIFS('Перечень инв.проектов ЭЭ'!$O$3:$O$308,'Перечень инв.проектов ЭЭ'!$B$3:$B$308,C$144)</f>
        <v>38943.015500000009</v>
      </c>
      <c r="E149" s="51">
        <v>30</v>
      </c>
      <c r="F149" s="83">
        <f>100/E149</f>
        <v>3.3333333333333335</v>
      </c>
      <c r="G149" s="94"/>
      <c r="H149" s="94">
        <f>D149*F149/100</f>
        <v>1298.1005166666669</v>
      </c>
      <c r="I149" s="94">
        <f>D149*F149/100</f>
        <v>1298.1005166666669</v>
      </c>
      <c r="J149" s="94">
        <f>D149*F149/100</f>
        <v>1298.1005166666669</v>
      </c>
      <c r="K149" s="94"/>
      <c r="L149" s="94"/>
      <c r="M149" s="94"/>
      <c r="N149" s="94"/>
      <c r="O149" s="94"/>
      <c r="P149" s="94"/>
      <c r="Q149" s="94"/>
      <c r="R149" s="94"/>
      <c r="S149" s="94"/>
      <c r="T149" s="195"/>
      <c r="U149" s="195"/>
      <c r="V149" s="195"/>
      <c r="W149" s="195"/>
      <c r="X149" s="195"/>
      <c r="Y149" s="22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  <c r="BB149" s="195"/>
      <c r="BC149" s="195"/>
      <c r="BD149" s="195"/>
      <c r="BE149" s="195"/>
      <c r="BF149" s="195"/>
      <c r="BG149" s="195"/>
      <c r="BH149" s="195"/>
      <c r="BI149" s="195"/>
      <c r="BJ149" s="195"/>
      <c r="BK149" s="195"/>
      <c r="BL149" s="195"/>
      <c r="BM149" s="195"/>
      <c r="BN149" s="195"/>
      <c r="BO149" s="195"/>
      <c r="BP149" s="195"/>
      <c r="BQ149" s="195"/>
      <c r="BR149" s="195"/>
      <c r="BS149" s="195"/>
      <c r="BT149" s="195"/>
      <c r="BU149" s="195"/>
      <c r="BV149" s="195"/>
      <c r="BW149" s="195"/>
      <c r="BX149" s="195"/>
      <c r="BY149" s="195"/>
      <c r="BZ149" s="195"/>
      <c r="CA149" s="195"/>
      <c r="CB149" s="195"/>
      <c r="CC149" s="195"/>
      <c r="CD149" s="195"/>
      <c r="CE149" s="195"/>
      <c r="CF149" s="195"/>
      <c r="CG149" s="195"/>
      <c r="CH149" s="195"/>
      <c r="CI149" s="195"/>
      <c r="CJ149" s="195"/>
      <c r="CK149" s="195"/>
      <c r="CL149" s="195"/>
      <c r="CM149" s="195"/>
      <c r="CN149" s="195"/>
      <c r="CO149" s="195"/>
      <c r="CP149" s="195"/>
      <c r="CQ149" s="195"/>
      <c r="CR149" s="195"/>
      <c r="CS149" s="195"/>
      <c r="CT149" s="195"/>
      <c r="CU149" s="195"/>
      <c r="CV149" s="195"/>
      <c r="CW149" s="195"/>
      <c r="CX149" s="195"/>
      <c r="CY149" s="195"/>
      <c r="CZ149" s="195"/>
      <c r="DA149" s="195"/>
      <c r="DB149" s="195"/>
      <c r="DC149" s="195"/>
      <c r="DD149" s="195"/>
      <c r="DE149" s="195"/>
      <c r="DF149" s="195"/>
      <c r="DG149" s="195"/>
      <c r="DH149" s="195"/>
      <c r="DI149" s="195"/>
      <c r="DJ149" s="195"/>
      <c r="DK149" s="195"/>
      <c r="DL149" s="195"/>
      <c r="DM149" s="195"/>
      <c r="DN149" s="195"/>
      <c r="DO149" s="195"/>
      <c r="DP149" s="195"/>
      <c r="DQ149" s="195"/>
      <c r="DR149" s="195"/>
      <c r="DS149" s="195"/>
      <c r="DT149" s="195"/>
      <c r="DU149" s="195"/>
      <c r="DV149" s="195"/>
      <c r="DW149" s="195"/>
      <c r="DX149" s="195"/>
      <c r="DY149" s="195"/>
      <c r="DZ149" s="195"/>
      <c r="EA149" s="195"/>
      <c r="EB149" s="195"/>
      <c r="EC149" s="195"/>
      <c r="ED149" s="195"/>
      <c r="EE149" s="195"/>
      <c r="EF149" s="195"/>
      <c r="EG149" s="195"/>
      <c r="EH149" s="195"/>
      <c r="EI149" s="195"/>
      <c r="EJ149" s="195"/>
      <c r="EK149" s="195"/>
      <c r="EL149" s="195"/>
      <c r="EM149" s="195"/>
      <c r="EN149" s="195"/>
      <c r="EO149" s="195"/>
      <c r="EP149" s="195"/>
      <c r="EQ149" s="195"/>
      <c r="ER149" s="195"/>
      <c r="ES149" s="195"/>
      <c r="ET149" s="195"/>
      <c r="EU149" s="195"/>
      <c r="EV149" s="195"/>
      <c r="EW149" s="195"/>
      <c r="EX149" s="195"/>
      <c r="EY149" s="195"/>
      <c r="EZ149" s="195"/>
      <c r="FA149" s="195"/>
      <c r="FB149" s="195"/>
      <c r="FC149" s="195"/>
      <c r="FD149" s="195"/>
      <c r="FE149" s="123"/>
      <c r="FF149" s="123"/>
      <c r="FG149" s="123"/>
      <c r="FH149" s="123"/>
      <c r="FJ149" s="122"/>
      <c r="FK149" s="123"/>
      <c r="FL149" s="131"/>
      <c r="FM149" s="132"/>
      <c r="FN149" s="123"/>
      <c r="FO149" s="123"/>
      <c r="FP149" s="123"/>
      <c r="FQ149" s="123"/>
      <c r="FR149" s="123"/>
    </row>
    <row r="150" spans="1:174" ht="24" customHeight="1" x14ac:dyDescent="0.2">
      <c r="C150" s="30" t="s">
        <v>277</v>
      </c>
      <c r="D150" s="94">
        <f>SUMIFS('Перечень инв.проектов ЭЭ'!$P$3:$P$308,'Перечень инв.проектов ЭЭ'!$B$3:$B$308,C$144)</f>
        <v>58849.250000000015</v>
      </c>
      <c r="E150" s="51">
        <v>30</v>
      </c>
      <c r="F150" s="83">
        <f>100/E150</f>
        <v>3.3333333333333335</v>
      </c>
      <c r="G150" s="94"/>
      <c r="H150" s="94"/>
      <c r="I150" s="94">
        <f>D150*F150/100</f>
        <v>1961.6416666666671</v>
      </c>
      <c r="J150" s="94">
        <f>D150*F150/100</f>
        <v>1961.6416666666671</v>
      </c>
      <c r="K150" s="94"/>
      <c r="L150" s="94"/>
      <c r="M150" s="94"/>
      <c r="N150" s="94"/>
      <c r="O150" s="94"/>
      <c r="P150" s="94"/>
      <c r="Q150" s="94"/>
      <c r="R150" s="94"/>
      <c r="S150" s="94"/>
      <c r="T150" s="195"/>
      <c r="U150" s="195"/>
      <c r="V150" s="195"/>
      <c r="W150" s="195"/>
      <c r="X150" s="195"/>
      <c r="Y150" s="22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  <c r="BB150" s="195"/>
      <c r="BC150" s="195"/>
      <c r="BD150" s="195"/>
      <c r="BE150" s="195"/>
      <c r="BF150" s="195"/>
      <c r="BG150" s="195"/>
      <c r="BH150" s="195"/>
      <c r="BI150" s="195"/>
      <c r="BJ150" s="195"/>
      <c r="BK150" s="195"/>
      <c r="BL150" s="195"/>
      <c r="BM150" s="195"/>
      <c r="BN150" s="195"/>
      <c r="BO150" s="195"/>
      <c r="BP150" s="195"/>
      <c r="BQ150" s="195"/>
      <c r="BR150" s="195"/>
      <c r="BS150" s="195"/>
      <c r="BT150" s="195"/>
      <c r="BU150" s="195"/>
      <c r="BV150" s="195"/>
      <c r="BW150" s="195"/>
      <c r="BX150" s="195"/>
      <c r="BY150" s="195"/>
      <c r="BZ150" s="195"/>
      <c r="CA150" s="195"/>
      <c r="CB150" s="195"/>
      <c r="CC150" s="195"/>
      <c r="CD150" s="195"/>
      <c r="CE150" s="195"/>
      <c r="CF150" s="195"/>
      <c r="CG150" s="195"/>
      <c r="CH150" s="195"/>
      <c r="CI150" s="195"/>
      <c r="CJ150" s="195"/>
      <c r="CK150" s="195"/>
      <c r="CL150" s="195"/>
      <c r="CM150" s="195"/>
      <c r="CN150" s="195"/>
      <c r="CO150" s="195"/>
      <c r="CP150" s="195"/>
      <c r="CQ150" s="195"/>
      <c r="CR150" s="195"/>
      <c r="CS150" s="195"/>
      <c r="CT150" s="195"/>
      <c r="CU150" s="195"/>
      <c r="CV150" s="195"/>
      <c r="CW150" s="195"/>
      <c r="CX150" s="195"/>
      <c r="CY150" s="195"/>
      <c r="CZ150" s="195"/>
      <c r="DA150" s="195"/>
      <c r="DB150" s="195"/>
      <c r="DC150" s="195"/>
      <c r="DD150" s="195"/>
      <c r="DE150" s="195"/>
      <c r="DF150" s="195"/>
      <c r="DG150" s="195"/>
      <c r="DH150" s="195"/>
      <c r="DI150" s="195"/>
      <c r="DJ150" s="195"/>
      <c r="DK150" s="195"/>
      <c r="DL150" s="195"/>
      <c r="DM150" s="195"/>
      <c r="DN150" s="195"/>
      <c r="DO150" s="195"/>
      <c r="DP150" s="195"/>
      <c r="DQ150" s="195"/>
      <c r="DR150" s="195"/>
      <c r="DS150" s="195"/>
      <c r="DT150" s="195"/>
      <c r="DU150" s="195"/>
      <c r="DV150" s="195"/>
      <c r="DW150" s="195"/>
      <c r="DX150" s="195"/>
      <c r="DY150" s="195"/>
      <c r="DZ150" s="195"/>
      <c r="EA150" s="195"/>
      <c r="EB150" s="195"/>
      <c r="EC150" s="195"/>
      <c r="ED150" s="195"/>
      <c r="EE150" s="195"/>
      <c r="EF150" s="195"/>
      <c r="EG150" s="195"/>
      <c r="EH150" s="195"/>
      <c r="EI150" s="195"/>
      <c r="EJ150" s="195"/>
      <c r="EK150" s="195"/>
      <c r="EL150" s="195"/>
      <c r="EM150" s="195"/>
      <c r="EN150" s="195"/>
      <c r="EO150" s="195"/>
      <c r="EP150" s="195"/>
      <c r="EQ150" s="195"/>
      <c r="ER150" s="195"/>
      <c r="ES150" s="195"/>
      <c r="ET150" s="195"/>
      <c r="EU150" s="195"/>
      <c r="EV150" s="195"/>
      <c r="EW150" s="195"/>
      <c r="EX150" s="195"/>
      <c r="EY150" s="195"/>
      <c r="EZ150" s="195"/>
      <c r="FA150" s="195"/>
      <c r="FB150" s="195"/>
      <c r="FC150" s="195"/>
      <c r="FD150" s="195"/>
      <c r="FE150" s="123"/>
      <c r="FF150" s="123"/>
      <c r="FG150" s="123"/>
      <c r="FH150" s="123"/>
      <c r="FJ150" s="122"/>
      <c r="FK150" s="123"/>
      <c r="FL150" s="131"/>
      <c r="FM150" s="132"/>
      <c r="FN150" s="123"/>
      <c r="FO150" s="123"/>
      <c r="FP150" s="123"/>
      <c r="FQ150" s="123"/>
      <c r="FR150" s="123"/>
    </row>
    <row r="151" spans="1:174" ht="24" customHeight="1" x14ac:dyDescent="0.2">
      <c r="C151" s="30" t="s">
        <v>391</v>
      </c>
      <c r="D151" s="94">
        <f>SUMIFS('Перечень инв.проектов ЭЭ'!$Q$3:$Q$308,'Перечень инв.проектов ЭЭ'!$B$3:$B$308,C$144)</f>
        <v>42787.846599999997</v>
      </c>
      <c r="E151" s="51">
        <v>30</v>
      </c>
      <c r="F151" s="83">
        <f>100/E151</f>
        <v>3.3333333333333335</v>
      </c>
      <c r="G151" s="94"/>
      <c r="H151" s="94"/>
      <c r="I151" s="94"/>
      <c r="J151" s="94">
        <f>D151*F151/100</f>
        <v>1426.2615533333333</v>
      </c>
      <c r="K151" s="94"/>
      <c r="L151" s="94"/>
      <c r="M151" s="94"/>
      <c r="N151" s="94"/>
      <c r="O151" s="94"/>
      <c r="P151" s="94"/>
      <c r="Q151" s="94"/>
      <c r="R151" s="94"/>
      <c r="S151" s="94"/>
      <c r="T151" s="195"/>
      <c r="U151" s="195"/>
      <c r="V151" s="195"/>
      <c r="W151" s="195"/>
      <c r="X151" s="195"/>
      <c r="Y151" s="22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  <c r="BB151" s="195"/>
      <c r="BC151" s="195"/>
      <c r="BD151" s="195"/>
      <c r="BE151" s="195"/>
      <c r="BF151" s="195"/>
      <c r="BG151" s="195"/>
      <c r="BH151" s="195"/>
      <c r="BI151" s="195"/>
      <c r="BJ151" s="195"/>
      <c r="BK151" s="195"/>
      <c r="BL151" s="195"/>
      <c r="BM151" s="195"/>
      <c r="BN151" s="195"/>
      <c r="BO151" s="195"/>
      <c r="BP151" s="195"/>
      <c r="BQ151" s="195"/>
      <c r="BR151" s="195"/>
      <c r="BS151" s="195"/>
      <c r="BT151" s="195"/>
      <c r="BU151" s="195"/>
      <c r="BV151" s="195"/>
      <c r="BW151" s="195"/>
      <c r="BX151" s="195"/>
      <c r="BY151" s="195"/>
      <c r="BZ151" s="195"/>
      <c r="CA151" s="195"/>
      <c r="CB151" s="195"/>
      <c r="CC151" s="195"/>
      <c r="CD151" s="195"/>
      <c r="CE151" s="195"/>
      <c r="CF151" s="195"/>
      <c r="CG151" s="195"/>
      <c r="CH151" s="195"/>
      <c r="CI151" s="195"/>
      <c r="CJ151" s="195"/>
      <c r="CK151" s="195"/>
      <c r="CL151" s="195"/>
      <c r="CM151" s="195"/>
      <c r="CN151" s="195"/>
      <c r="CO151" s="195"/>
      <c r="CP151" s="195"/>
      <c r="CQ151" s="195"/>
      <c r="CR151" s="195"/>
      <c r="CS151" s="195"/>
      <c r="CT151" s="195"/>
      <c r="CU151" s="195"/>
      <c r="CV151" s="195"/>
      <c r="CW151" s="195"/>
      <c r="CX151" s="195"/>
      <c r="CY151" s="195"/>
      <c r="CZ151" s="195"/>
      <c r="DA151" s="195"/>
      <c r="DB151" s="195"/>
      <c r="DC151" s="195"/>
      <c r="DD151" s="195"/>
      <c r="DE151" s="195"/>
      <c r="DF151" s="195"/>
      <c r="DG151" s="195"/>
      <c r="DH151" s="195"/>
      <c r="DI151" s="195"/>
      <c r="DJ151" s="195"/>
      <c r="DK151" s="195"/>
      <c r="DL151" s="195"/>
      <c r="DM151" s="195"/>
      <c r="DN151" s="195"/>
      <c r="DO151" s="195"/>
      <c r="DP151" s="195"/>
      <c r="DQ151" s="195"/>
      <c r="DR151" s="195"/>
      <c r="DS151" s="195"/>
      <c r="DT151" s="195"/>
      <c r="DU151" s="195"/>
      <c r="DV151" s="195"/>
      <c r="DW151" s="195"/>
      <c r="DX151" s="195"/>
      <c r="DY151" s="195"/>
      <c r="DZ151" s="195"/>
      <c r="EA151" s="195"/>
      <c r="EB151" s="195"/>
      <c r="EC151" s="195"/>
      <c r="ED151" s="195"/>
      <c r="EE151" s="195"/>
      <c r="EF151" s="195"/>
      <c r="EG151" s="195"/>
      <c r="EH151" s="195"/>
      <c r="EI151" s="195"/>
      <c r="EJ151" s="195"/>
      <c r="EK151" s="195"/>
      <c r="EL151" s="195"/>
      <c r="EM151" s="195"/>
      <c r="EN151" s="195"/>
      <c r="EO151" s="195"/>
      <c r="EP151" s="195"/>
      <c r="EQ151" s="195"/>
      <c r="ER151" s="195"/>
      <c r="ES151" s="195"/>
      <c r="ET151" s="195"/>
      <c r="EU151" s="195"/>
      <c r="EV151" s="195"/>
      <c r="EW151" s="195"/>
      <c r="EX151" s="195"/>
      <c r="EY151" s="195"/>
      <c r="EZ151" s="195"/>
      <c r="FA151" s="195"/>
      <c r="FB151" s="195"/>
      <c r="FC151" s="195"/>
      <c r="FD151" s="195"/>
      <c r="FE151" s="123"/>
      <c r="FF151" s="123"/>
      <c r="FG151" s="123"/>
      <c r="FH151" s="123"/>
      <c r="FJ151" s="122"/>
      <c r="FK151" s="123"/>
      <c r="FL151" s="131"/>
      <c r="FM151" s="132"/>
      <c r="FN151" s="123"/>
      <c r="FO151" s="123"/>
      <c r="FP151" s="123"/>
      <c r="FQ151" s="123"/>
      <c r="FR151" s="123"/>
    </row>
    <row r="152" spans="1:174" ht="24" customHeight="1" x14ac:dyDescent="0.2">
      <c r="C152" s="30" t="s">
        <v>392</v>
      </c>
      <c r="D152" s="94"/>
      <c r="E152" s="51"/>
      <c r="F152" s="83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195"/>
      <c r="U152" s="195"/>
      <c r="V152" s="195"/>
      <c r="W152" s="195"/>
      <c r="X152" s="195"/>
      <c r="Y152" s="22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  <c r="BB152" s="195"/>
      <c r="BC152" s="195"/>
      <c r="BD152" s="195"/>
      <c r="BE152" s="195"/>
      <c r="BF152" s="195"/>
      <c r="BG152" s="195"/>
      <c r="BH152" s="195"/>
      <c r="BI152" s="195"/>
      <c r="BJ152" s="195"/>
      <c r="BK152" s="195"/>
      <c r="BL152" s="195"/>
      <c r="BM152" s="195"/>
      <c r="BN152" s="195"/>
      <c r="BO152" s="195"/>
      <c r="BP152" s="195"/>
      <c r="BQ152" s="195"/>
      <c r="BR152" s="195"/>
      <c r="BS152" s="195"/>
      <c r="BT152" s="195"/>
      <c r="BU152" s="195"/>
      <c r="BV152" s="195"/>
      <c r="BW152" s="195"/>
      <c r="BX152" s="195"/>
      <c r="BY152" s="195"/>
      <c r="BZ152" s="195"/>
      <c r="CA152" s="195"/>
      <c r="CB152" s="195"/>
      <c r="CC152" s="195"/>
      <c r="CD152" s="195"/>
      <c r="CE152" s="195"/>
      <c r="CF152" s="195"/>
      <c r="CG152" s="195"/>
      <c r="CH152" s="195"/>
      <c r="CI152" s="195"/>
      <c r="CJ152" s="195"/>
      <c r="CK152" s="195"/>
      <c r="CL152" s="195"/>
      <c r="CM152" s="195"/>
      <c r="CN152" s="195"/>
      <c r="CO152" s="195"/>
      <c r="CP152" s="195"/>
      <c r="CQ152" s="195"/>
      <c r="CR152" s="195"/>
      <c r="CS152" s="195"/>
      <c r="CT152" s="195"/>
      <c r="CU152" s="195"/>
      <c r="CV152" s="195"/>
      <c r="CW152" s="195"/>
      <c r="CX152" s="195"/>
      <c r="CY152" s="195"/>
      <c r="CZ152" s="195"/>
      <c r="DA152" s="195"/>
      <c r="DB152" s="195"/>
      <c r="DC152" s="195"/>
      <c r="DD152" s="195"/>
      <c r="DE152" s="195"/>
      <c r="DF152" s="195"/>
      <c r="DG152" s="195"/>
      <c r="DH152" s="195"/>
      <c r="DI152" s="195"/>
      <c r="DJ152" s="195"/>
      <c r="DK152" s="195"/>
      <c r="DL152" s="195"/>
      <c r="DM152" s="195"/>
      <c r="DN152" s="195"/>
      <c r="DO152" s="195"/>
      <c r="DP152" s="195"/>
      <c r="DQ152" s="195"/>
      <c r="DR152" s="195"/>
      <c r="DS152" s="195"/>
      <c r="DT152" s="195"/>
      <c r="DU152" s="195"/>
      <c r="DV152" s="195"/>
      <c r="DW152" s="195"/>
      <c r="DX152" s="195"/>
      <c r="DY152" s="195"/>
      <c r="DZ152" s="195"/>
      <c r="EA152" s="195"/>
      <c r="EB152" s="195"/>
      <c r="EC152" s="195"/>
      <c r="ED152" s="195"/>
      <c r="EE152" s="195"/>
      <c r="EF152" s="195"/>
      <c r="EG152" s="195"/>
      <c r="EH152" s="195"/>
      <c r="EI152" s="195"/>
      <c r="EJ152" s="195"/>
      <c r="EK152" s="195"/>
      <c r="EL152" s="195"/>
      <c r="EM152" s="195"/>
      <c r="EN152" s="195"/>
      <c r="EO152" s="195"/>
      <c r="EP152" s="195"/>
      <c r="EQ152" s="195"/>
      <c r="ER152" s="195"/>
      <c r="ES152" s="195"/>
      <c r="ET152" s="195"/>
      <c r="EU152" s="195"/>
      <c r="EV152" s="195"/>
      <c r="EW152" s="195"/>
      <c r="EX152" s="195"/>
      <c r="EY152" s="195"/>
      <c r="EZ152" s="195"/>
      <c r="FA152" s="195"/>
      <c r="FB152" s="195"/>
      <c r="FC152" s="195"/>
      <c r="FD152" s="195"/>
      <c r="FE152" s="123"/>
      <c r="FF152" s="123"/>
      <c r="FG152" s="123"/>
      <c r="FH152" s="123"/>
      <c r="FJ152" s="122"/>
      <c r="FK152" s="123"/>
      <c r="FL152" s="131"/>
      <c r="FM152" s="132"/>
      <c r="FN152" s="123"/>
      <c r="FO152" s="123"/>
      <c r="FP152" s="123"/>
      <c r="FQ152" s="123"/>
      <c r="FR152" s="123"/>
    </row>
    <row r="153" spans="1:174" ht="24" customHeight="1" x14ac:dyDescent="0.2">
      <c r="C153" s="30" t="s">
        <v>393</v>
      </c>
      <c r="D153" s="94"/>
      <c r="E153" s="51"/>
      <c r="F153" s="83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195"/>
      <c r="U153" s="195"/>
      <c r="V153" s="195"/>
      <c r="W153" s="195"/>
      <c r="X153" s="195"/>
      <c r="Y153" s="22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  <c r="BB153" s="195"/>
      <c r="BC153" s="195"/>
      <c r="BD153" s="195"/>
      <c r="BE153" s="195"/>
      <c r="BF153" s="195"/>
      <c r="BG153" s="195"/>
      <c r="BH153" s="195"/>
      <c r="BI153" s="195"/>
      <c r="BJ153" s="195"/>
      <c r="BK153" s="195"/>
      <c r="BL153" s="195"/>
      <c r="BM153" s="195"/>
      <c r="BN153" s="195"/>
      <c r="BO153" s="195"/>
      <c r="BP153" s="195"/>
      <c r="BQ153" s="195"/>
      <c r="BR153" s="195"/>
      <c r="BS153" s="195"/>
      <c r="BT153" s="195"/>
      <c r="BU153" s="195"/>
      <c r="BV153" s="195"/>
      <c r="BW153" s="195"/>
      <c r="BX153" s="195"/>
      <c r="BY153" s="195"/>
      <c r="BZ153" s="195"/>
      <c r="CA153" s="195"/>
      <c r="CB153" s="195"/>
      <c r="CC153" s="195"/>
      <c r="CD153" s="195"/>
      <c r="CE153" s="195"/>
      <c r="CF153" s="195"/>
      <c r="CG153" s="195"/>
      <c r="CH153" s="195"/>
      <c r="CI153" s="195"/>
      <c r="CJ153" s="195"/>
      <c r="CK153" s="195"/>
      <c r="CL153" s="195"/>
      <c r="CM153" s="195"/>
      <c r="CN153" s="195"/>
      <c r="CO153" s="195"/>
      <c r="CP153" s="195"/>
      <c r="CQ153" s="195"/>
      <c r="CR153" s="195"/>
      <c r="CS153" s="195"/>
      <c r="CT153" s="195"/>
      <c r="CU153" s="195"/>
      <c r="CV153" s="195"/>
      <c r="CW153" s="195"/>
      <c r="CX153" s="195"/>
      <c r="CY153" s="195"/>
      <c r="CZ153" s="195"/>
      <c r="DA153" s="195"/>
      <c r="DB153" s="195"/>
      <c r="DC153" s="195"/>
      <c r="DD153" s="195"/>
      <c r="DE153" s="195"/>
      <c r="DF153" s="195"/>
      <c r="DG153" s="195"/>
      <c r="DH153" s="195"/>
      <c r="DI153" s="195"/>
      <c r="DJ153" s="195"/>
      <c r="DK153" s="195"/>
      <c r="DL153" s="195"/>
      <c r="DM153" s="195"/>
      <c r="DN153" s="195"/>
      <c r="DO153" s="195"/>
      <c r="DP153" s="195"/>
      <c r="DQ153" s="195"/>
      <c r="DR153" s="195"/>
      <c r="DS153" s="195"/>
      <c r="DT153" s="195"/>
      <c r="DU153" s="195"/>
      <c r="DV153" s="195"/>
      <c r="DW153" s="195"/>
      <c r="DX153" s="195"/>
      <c r="DY153" s="195"/>
      <c r="DZ153" s="195"/>
      <c r="EA153" s="195"/>
      <c r="EB153" s="195"/>
      <c r="EC153" s="195"/>
      <c r="ED153" s="195"/>
      <c r="EE153" s="195"/>
      <c r="EF153" s="195"/>
      <c r="EG153" s="195"/>
      <c r="EH153" s="195"/>
      <c r="EI153" s="195"/>
      <c r="EJ153" s="195"/>
      <c r="EK153" s="195"/>
      <c r="EL153" s="195"/>
      <c r="EM153" s="195"/>
      <c r="EN153" s="195"/>
      <c r="EO153" s="195"/>
      <c r="EP153" s="195"/>
      <c r="EQ153" s="195"/>
      <c r="ER153" s="195"/>
      <c r="ES153" s="195"/>
      <c r="ET153" s="195"/>
      <c r="EU153" s="195"/>
      <c r="EV153" s="195"/>
      <c r="EW153" s="195"/>
      <c r="EX153" s="195"/>
      <c r="EY153" s="195"/>
      <c r="EZ153" s="195"/>
      <c r="FA153" s="195"/>
      <c r="FB153" s="195"/>
      <c r="FC153" s="195"/>
      <c r="FD153" s="195"/>
      <c r="FE153" s="123"/>
      <c r="FF153" s="123"/>
      <c r="FG153" s="123"/>
      <c r="FH153" s="123"/>
      <c r="FJ153" s="122"/>
      <c r="FK153" s="123"/>
      <c r="FL153" s="131"/>
      <c r="FM153" s="132"/>
      <c r="FN153" s="123"/>
      <c r="FO153" s="123"/>
      <c r="FP153" s="123"/>
      <c r="FQ153" s="123"/>
      <c r="FR153" s="123"/>
    </row>
    <row r="154" spans="1:174" ht="24" customHeight="1" x14ac:dyDescent="0.2">
      <c r="C154" s="30" t="s">
        <v>394</v>
      </c>
      <c r="D154" s="94"/>
      <c r="E154" s="51"/>
      <c r="F154" s="83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195"/>
      <c r="U154" s="195"/>
      <c r="V154" s="195"/>
      <c r="W154" s="195"/>
      <c r="X154" s="195"/>
      <c r="Y154" s="22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  <c r="BB154" s="195"/>
      <c r="BC154" s="195"/>
      <c r="BD154" s="195"/>
      <c r="BE154" s="195"/>
      <c r="BF154" s="195"/>
      <c r="BG154" s="195"/>
      <c r="BH154" s="195"/>
      <c r="BI154" s="195"/>
      <c r="BJ154" s="195"/>
      <c r="BK154" s="195"/>
      <c r="BL154" s="195"/>
      <c r="BM154" s="195"/>
      <c r="BN154" s="195"/>
      <c r="BO154" s="195"/>
      <c r="BP154" s="195"/>
      <c r="BQ154" s="195"/>
      <c r="BR154" s="195"/>
      <c r="BS154" s="195"/>
      <c r="BT154" s="195"/>
      <c r="BU154" s="195"/>
      <c r="BV154" s="195"/>
      <c r="BW154" s="195"/>
      <c r="BX154" s="195"/>
      <c r="BY154" s="195"/>
      <c r="BZ154" s="195"/>
      <c r="CA154" s="195"/>
      <c r="CB154" s="195"/>
      <c r="CC154" s="195"/>
      <c r="CD154" s="195"/>
      <c r="CE154" s="195"/>
      <c r="CF154" s="195"/>
      <c r="CG154" s="195"/>
      <c r="CH154" s="195"/>
      <c r="CI154" s="195"/>
      <c r="CJ154" s="195"/>
      <c r="CK154" s="195"/>
      <c r="CL154" s="195"/>
      <c r="CM154" s="195"/>
      <c r="CN154" s="195"/>
      <c r="CO154" s="195"/>
      <c r="CP154" s="195"/>
      <c r="CQ154" s="195"/>
      <c r="CR154" s="195"/>
      <c r="CS154" s="195"/>
      <c r="CT154" s="195"/>
      <c r="CU154" s="195"/>
      <c r="CV154" s="195"/>
      <c r="CW154" s="195"/>
      <c r="CX154" s="195"/>
      <c r="CY154" s="195"/>
      <c r="CZ154" s="195"/>
      <c r="DA154" s="195"/>
      <c r="DB154" s="195"/>
      <c r="DC154" s="195"/>
      <c r="DD154" s="195"/>
      <c r="DE154" s="195"/>
      <c r="DF154" s="195"/>
      <c r="DG154" s="195"/>
      <c r="DH154" s="195"/>
      <c r="DI154" s="195"/>
      <c r="DJ154" s="195"/>
      <c r="DK154" s="195"/>
      <c r="DL154" s="195"/>
      <c r="DM154" s="195"/>
      <c r="DN154" s="195"/>
      <c r="DO154" s="195"/>
      <c r="DP154" s="195"/>
      <c r="DQ154" s="195"/>
      <c r="DR154" s="195"/>
      <c r="DS154" s="195"/>
      <c r="DT154" s="195"/>
      <c r="DU154" s="195"/>
      <c r="DV154" s="195"/>
      <c r="DW154" s="195"/>
      <c r="DX154" s="195"/>
      <c r="DY154" s="195"/>
      <c r="DZ154" s="195"/>
      <c r="EA154" s="195"/>
      <c r="EB154" s="195"/>
      <c r="EC154" s="195"/>
      <c r="ED154" s="195"/>
      <c r="EE154" s="195"/>
      <c r="EF154" s="195"/>
      <c r="EG154" s="195"/>
      <c r="EH154" s="195"/>
      <c r="EI154" s="195"/>
      <c r="EJ154" s="195"/>
      <c r="EK154" s="195"/>
      <c r="EL154" s="195"/>
      <c r="EM154" s="195"/>
      <c r="EN154" s="195"/>
      <c r="EO154" s="195"/>
      <c r="EP154" s="195"/>
      <c r="EQ154" s="195"/>
      <c r="ER154" s="195"/>
      <c r="ES154" s="195"/>
      <c r="ET154" s="195"/>
      <c r="EU154" s="195"/>
      <c r="EV154" s="195"/>
      <c r="EW154" s="195"/>
      <c r="EX154" s="195"/>
      <c r="EY154" s="195"/>
      <c r="EZ154" s="195"/>
      <c r="FA154" s="195"/>
      <c r="FB154" s="195"/>
      <c r="FC154" s="195"/>
      <c r="FD154" s="195"/>
      <c r="FE154" s="123"/>
      <c r="FF154" s="123"/>
      <c r="FG154" s="123"/>
      <c r="FH154" s="123"/>
      <c r="FJ154" s="122"/>
      <c r="FK154" s="123"/>
      <c r="FL154" s="131"/>
      <c r="FM154" s="132"/>
      <c r="FN154" s="123"/>
      <c r="FO154" s="123"/>
      <c r="FP154" s="123"/>
      <c r="FQ154" s="123"/>
      <c r="FR154" s="123"/>
    </row>
    <row r="155" spans="1:174" ht="24" customHeight="1" x14ac:dyDescent="0.2">
      <c r="C155" s="30" t="s">
        <v>395</v>
      </c>
      <c r="D155" s="94"/>
      <c r="E155" s="51"/>
      <c r="F155" s="83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195"/>
      <c r="U155" s="195"/>
      <c r="V155" s="195"/>
      <c r="W155" s="195"/>
      <c r="X155" s="195"/>
      <c r="Y155" s="22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195"/>
      <c r="BD155" s="195"/>
      <c r="BE155" s="195"/>
      <c r="BF155" s="195"/>
      <c r="BG155" s="195"/>
      <c r="BH155" s="195"/>
      <c r="BI155" s="195"/>
      <c r="BJ155" s="195"/>
      <c r="BK155" s="195"/>
      <c r="BL155" s="195"/>
      <c r="BM155" s="195"/>
      <c r="BN155" s="195"/>
      <c r="BO155" s="195"/>
      <c r="BP155" s="195"/>
      <c r="BQ155" s="195"/>
      <c r="BR155" s="195"/>
      <c r="BS155" s="195"/>
      <c r="BT155" s="195"/>
      <c r="BU155" s="195"/>
      <c r="BV155" s="195"/>
      <c r="BW155" s="195"/>
      <c r="BX155" s="195"/>
      <c r="BY155" s="195"/>
      <c r="BZ155" s="195"/>
      <c r="CA155" s="195"/>
      <c r="CB155" s="195"/>
      <c r="CC155" s="195"/>
      <c r="CD155" s="195"/>
      <c r="CE155" s="195"/>
      <c r="CF155" s="195"/>
      <c r="CG155" s="195"/>
      <c r="CH155" s="195"/>
      <c r="CI155" s="195"/>
      <c r="CJ155" s="195"/>
      <c r="CK155" s="195"/>
      <c r="CL155" s="195"/>
      <c r="CM155" s="195"/>
      <c r="CN155" s="195"/>
      <c r="CO155" s="195"/>
      <c r="CP155" s="195"/>
      <c r="CQ155" s="195"/>
      <c r="CR155" s="195"/>
      <c r="CS155" s="195"/>
      <c r="CT155" s="195"/>
      <c r="CU155" s="195"/>
      <c r="CV155" s="195"/>
      <c r="CW155" s="195"/>
      <c r="CX155" s="195"/>
      <c r="CY155" s="195"/>
      <c r="CZ155" s="195"/>
      <c r="DA155" s="195"/>
      <c r="DB155" s="195"/>
      <c r="DC155" s="195"/>
      <c r="DD155" s="195"/>
      <c r="DE155" s="195"/>
      <c r="DF155" s="195"/>
      <c r="DG155" s="195"/>
      <c r="DH155" s="195"/>
      <c r="DI155" s="195"/>
      <c r="DJ155" s="195"/>
      <c r="DK155" s="195"/>
      <c r="DL155" s="195"/>
      <c r="DM155" s="195"/>
      <c r="DN155" s="195"/>
      <c r="DO155" s="195"/>
      <c r="DP155" s="195"/>
      <c r="DQ155" s="195"/>
      <c r="DR155" s="195"/>
      <c r="DS155" s="195"/>
      <c r="DT155" s="195"/>
      <c r="DU155" s="195"/>
      <c r="DV155" s="195"/>
      <c r="DW155" s="195"/>
      <c r="DX155" s="195"/>
      <c r="DY155" s="195"/>
      <c r="DZ155" s="195"/>
      <c r="EA155" s="195"/>
      <c r="EB155" s="195"/>
      <c r="EC155" s="195"/>
      <c r="ED155" s="195"/>
      <c r="EE155" s="195"/>
      <c r="EF155" s="195"/>
      <c r="EG155" s="195"/>
      <c r="EH155" s="195"/>
      <c r="EI155" s="195"/>
      <c r="EJ155" s="195"/>
      <c r="EK155" s="195"/>
      <c r="EL155" s="195"/>
      <c r="EM155" s="195"/>
      <c r="EN155" s="195"/>
      <c r="EO155" s="195"/>
      <c r="EP155" s="195"/>
      <c r="EQ155" s="195"/>
      <c r="ER155" s="195"/>
      <c r="ES155" s="195"/>
      <c r="ET155" s="195"/>
      <c r="EU155" s="195"/>
      <c r="EV155" s="195"/>
      <c r="EW155" s="195"/>
      <c r="EX155" s="195"/>
      <c r="EY155" s="195"/>
      <c r="EZ155" s="195"/>
      <c r="FA155" s="195"/>
      <c r="FB155" s="195"/>
      <c r="FC155" s="195"/>
      <c r="FD155" s="195"/>
      <c r="FE155" s="123"/>
      <c r="FF155" s="123"/>
      <c r="FG155" s="123"/>
      <c r="FH155" s="123"/>
      <c r="FJ155" s="122"/>
      <c r="FK155" s="123"/>
      <c r="FL155" s="131"/>
      <c r="FM155" s="132"/>
      <c r="FN155" s="123"/>
      <c r="FO155" s="123"/>
      <c r="FP155" s="123"/>
      <c r="FQ155" s="123"/>
      <c r="FR155" s="123"/>
    </row>
    <row r="156" spans="1:174" ht="24" customHeight="1" x14ac:dyDescent="0.2">
      <c r="C156" s="30" t="s">
        <v>396</v>
      </c>
      <c r="D156" s="94"/>
      <c r="E156" s="51"/>
      <c r="F156" s="83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195"/>
      <c r="U156" s="195"/>
      <c r="V156" s="195"/>
      <c r="W156" s="195"/>
      <c r="X156" s="195"/>
      <c r="Y156" s="22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  <c r="BB156" s="195"/>
      <c r="BC156" s="195"/>
      <c r="BD156" s="195"/>
      <c r="BE156" s="195"/>
      <c r="BF156" s="195"/>
      <c r="BG156" s="195"/>
      <c r="BH156" s="195"/>
      <c r="BI156" s="195"/>
      <c r="BJ156" s="195"/>
      <c r="BK156" s="195"/>
      <c r="BL156" s="195"/>
      <c r="BM156" s="195"/>
      <c r="BN156" s="195"/>
      <c r="BO156" s="195"/>
      <c r="BP156" s="195"/>
      <c r="BQ156" s="195"/>
      <c r="BR156" s="195"/>
      <c r="BS156" s="195"/>
      <c r="BT156" s="195"/>
      <c r="BU156" s="195"/>
      <c r="BV156" s="195"/>
      <c r="BW156" s="195"/>
      <c r="BX156" s="195"/>
      <c r="BY156" s="195"/>
      <c r="BZ156" s="195"/>
      <c r="CA156" s="195"/>
      <c r="CB156" s="195"/>
      <c r="CC156" s="195"/>
      <c r="CD156" s="195"/>
      <c r="CE156" s="195"/>
      <c r="CF156" s="195"/>
      <c r="CG156" s="195"/>
      <c r="CH156" s="195"/>
      <c r="CI156" s="195"/>
      <c r="CJ156" s="195"/>
      <c r="CK156" s="195"/>
      <c r="CL156" s="195"/>
      <c r="CM156" s="195"/>
      <c r="CN156" s="195"/>
      <c r="CO156" s="195"/>
      <c r="CP156" s="195"/>
      <c r="CQ156" s="195"/>
      <c r="CR156" s="195"/>
      <c r="CS156" s="195"/>
      <c r="CT156" s="195"/>
      <c r="CU156" s="195"/>
      <c r="CV156" s="195"/>
      <c r="CW156" s="195"/>
      <c r="CX156" s="195"/>
      <c r="CY156" s="195"/>
      <c r="CZ156" s="195"/>
      <c r="DA156" s="195"/>
      <c r="DB156" s="195"/>
      <c r="DC156" s="195"/>
      <c r="DD156" s="195"/>
      <c r="DE156" s="195"/>
      <c r="DF156" s="195"/>
      <c r="DG156" s="195"/>
      <c r="DH156" s="195"/>
      <c r="DI156" s="195"/>
      <c r="DJ156" s="195"/>
      <c r="DK156" s="195"/>
      <c r="DL156" s="195"/>
      <c r="DM156" s="195"/>
      <c r="DN156" s="195"/>
      <c r="DO156" s="195"/>
      <c r="DP156" s="195"/>
      <c r="DQ156" s="195"/>
      <c r="DR156" s="195"/>
      <c r="DS156" s="195"/>
      <c r="DT156" s="195"/>
      <c r="DU156" s="195"/>
      <c r="DV156" s="195"/>
      <c r="DW156" s="195"/>
      <c r="DX156" s="195"/>
      <c r="DY156" s="195"/>
      <c r="DZ156" s="195"/>
      <c r="EA156" s="195"/>
      <c r="EB156" s="195"/>
      <c r="EC156" s="195"/>
      <c r="ED156" s="195"/>
      <c r="EE156" s="195"/>
      <c r="EF156" s="195"/>
      <c r="EG156" s="195"/>
      <c r="EH156" s="195"/>
      <c r="EI156" s="195"/>
      <c r="EJ156" s="195"/>
      <c r="EK156" s="195"/>
      <c r="EL156" s="195"/>
      <c r="EM156" s="195"/>
      <c r="EN156" s="195"/>
      <c r="EO156" s="195"/>
      <c r="EP156" s="195"/>
      <c r="EQ156" s="195"/>
      <c r="ER156" s="195"/>
      <c r="ES156" s="195"/>
      <c r="ET156" s="195"/>
      <c r="EU156" s="195"/>
      <c r="EV156" s="195"/>
      <c r="EW156" s="195"/>
      <c r="EX156" s="195"/>
      <c r="EY156" s="195"/>
      <c r="EZ156" s="195"/>
      <c r="FA156" s="195"/>
      <c r="FB156" s="195"/>
      <c r="FC156" s="195"/>
      <c r="FD156" s="195"/>
      <c r="FE156" s="123"/>
      <c r="FF156" s="123"/>
      <c r="FG156" s="123"/>
      <c r="FH156" s="123"/>
      <c r="FJ156" s="122"/>
      <c r="FK156" s="123"/>
      <c r="FL156" s="131"/>
      <c r="FM156" s="132"/>
      <c r="FN156" s="123"/>
      <c r="FO156" s="123"/>
      <c r="FP156" s="123"/>
      <c r="FQ156" s="123"/>
      <c r="FR156" s="123"/>
    </row>
    <row r="157" spans="1:174" ht="24" customHeight="1" x14ac:dyDescent="0.2">
      <c r="C157" s="30" t="s">
        <v>397</v>
      </c>
      <c r="D157" s="94"/>
      <c r="E157" s="51"/>
      <c r="F157" s="83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195"/>
      <c r="U157" s="195"/>
      <c r="V157" s="195"/>
      <c r="W157" s="195"/>
      <c r="X157" s="195"/>
      <c r="Y157" s="22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  <c r="BB157" s="195"/>
      <c r="BC157" s="195"/>
      <c r="BD157" s="195"/>
      <c r="BE157" s="195"/>
      <c r="BF157" s="195"/>
      <c r="BG157" s="195"/>
      <c r="BH157" s="195"/>
      <c r="BI157" s="195"/>
      <c r="BJ157" s="195"/>
      <c r="BK157" s="195"/>
      <c r="BL157" s="195"/>
      <c r="BM157" s="195"/>
      <c r="BN157" s="195"/>
      <c r="BO157" s="195"/>
      <c r="BP157" s="195"/>
      <c r="BQ157" s="195"/>
      <c r="BR157" s="195"/>
      <c r="BS157" s="195"/>
      <c r="BT157" s="195"/>
      <c r="BU157" s="195"/>
      <c r="BV157" s="195"/>
      <c r="BW157" s="195"/>
      <c r="BX157" s="195"/>
      <c r="BY157" s="195"/>
      <c r="BZ157" s="195"/>
      <c r="CA157" s="195"/>
      <c r="CB157" s="195"/>
      <c r="CC157" s="195"/>
      <c r="CD157" s="195"/>
      <c r="CE157" s="195"/>
      <c r="CF157" s="195"/>
      <c r="CG157" s="195"/>
      <c r="CH157" s="195"/>
      <c r="CI157" s="195"/>
      <c r="CJ157" s="195"/>
      <c r="CK157" s="195"/>
      <c r="CL157" s="195"/>
      <c r="CM157" s="195"/>
      <c r="CN157" s="195"/>
      <c r="CO157" s="195"/>
      <c r="CP157" s="195"/>
      <c r="CQ157" s="195"/>
      <c r="CR157" s="195"/>
      <c r="CS157" s="195"/>
      <c r="CT157" s="195"/>
      <c r="CU157" s="195"/>
      <c r="CV157" s="195"/>
      <c r="CW157" s="195"/>
      <c r="CX157" s="195"/>
      <c r="CY157" s="195"/>
      <c r="CZ157" s="195"/>
      <c r="DA157" s="195"/>
      <c r="DB157" s="195"/>
      <c r="DC157" s="195"/>
      <c r="DD157" s="195"/>
      <c r="DE157" s="195"/>
      <c r="DF157" s="195"/>
      <c r="DG157" s="195"/>
      <c r="DH157" s="195"/>
      <c r="DI157" s="195"/>
      <c r="DJ157" s="195"/>
      <c r="DK157" s="195"/>
      <c r="DL157" s="195"/>
      <c r="DM157" s="195"/>
      <c r="DN157" s="195"/>
      <c r="DO157" s="195"/>
      <c r="DP157" s="195"/>
      <c r="DQ157" s="195"/>
      <c r="DR157" s="195"/>
      <c r="DS157" s="195"/>
      <c r="DT157" s="195"/>
      <c r="DU157" s="195"/>
      <c r="DV157" s="195"/>
      <c r="DW157" s="195"/>
      <c r="DX157" s="195"/>
      <c r="DY157" s="195"/>
      <c r="DZ157" s="195"/>
      <c r="EA157" s="195"/>
      <c r="EB157" s="195"/>
      <c r="EC157" s="195"/>
      <c r="ED157" s="195"/>
      <c r="EE157" s="195"/>
      <c r="EF157" s="195"/>
      <c r="EG157" s="195"/>
      <c r="EH157" s="195"/>
      <c r="EI157" s="195"/>
      <c r="EJ157" s="195"/>
      <c r="EK157" s="195"/>
      <c r="EL157" s="195"/>
      <c r="EM157" s="195"/>
      <c r="EN157" s="195"/>
      <c r="EO157" s="195"/>
      <c r="EP157" s="195"/>
      <c r="EQ157" s="195"/>
      <c r="ER157" s="195"/>
      <c r="ES157" s="195"/>
      <c r="ET157" s="195"/>
      <c r="EU157" s="195"/>
      <c r="EV157" s="195"/>
      <c r="EW157" s="195"/>
      <c r="EX157" s="195"/>
      <c r="EY157" s="195"/>
      <c r="EZ157" s="195"/>
      <c r="FA157" s="195"/>
      <c r="FB157" s="195"/>
      <c r="FC157" s="195"/>
      <c r="FD157" s="195"/>
      <c r="FE157" s="123"/>
      <c r="FF157" s="123"/>
      <c r="FG157" s="123"/>
      <c r="FH157" s="123"/>
      <c r="FJ157" s="122"/>
      <c r="FK157" s="123"/>
      <c r="FL157" s="131"/>
      <c r="FM157" s="132"/>
      <c r="FN157" s="123"/>
      <c r="FO157" s="123"/>
      <c r="FP157" s="123"/>
      <c r="FQ157" s="123"/>
      <c r="FR157" s="123"/>
    </row>
    <row r="158" spans="1:174" ht="24" customHeight="1" x14ac:dyDescent="0.2">
      <c r="C158" s="30" t="s">
        <v>398</v>
      </c>
      <c r="D158" s="94"/>
      <c r="E158" s="51"/>
      <c r="F158" s="83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195"/>
      <c r="U158" s="195"/>
      <c r="V158" s="195"/>
      <c r="W158" s="195"/>
      <c r="X158" s="195"/>
      <c r="Y158" s="22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  <c r="BB158" s="195"/>
      <c r="BC158" s="195"/>
      <c r="BD158" s="195"/>
      <c r="BE158" s="195"/>
      <c r="BF158" s="195"/>
      <c r="BG158" s="195"/>
      <c r="BH158" s="195"/>
      <c r="BI158" s="195"/>
      <c r="BJ158" s="195"/>
      <c r="BK158" s="195"/>
      <c r="BL158" s="195"/>
      <c r="BM158" s="195"/>
      <c r="BN158" s="195"/>
      <c r="BO158" s="195"/>
      <c r="BP158" s="195"/>
      <c r="BQ158" s="195"/>
      <c r="BR158" s="195"/>
      <c r="BS158" s="195"/>
      <c r="BT158" s="195"/>
      <c r="BU158" s="195"/>
      <c r="BV158" s="195"/>
      <c r="BW158" s="195"/>
      <c r="BX158" s="195"/>
      <c r="BY158" s="195"/>
      <c r="BZ158" s="195"/>
      <c r="CA158" s="195"/>
      <c r="CB158" s="195"/>
      <c r="CC158" s="195"/>
      <c r="CD158" s="195"/>
      <c r="CE158" s="195"/>
      <c r="CF158" s="195"/>
      <c r="CG158" s="195"/>
      <c r="CH158" s="195"/>
      <c r="CI158" s="195"/>
      <c r="CJ158" s="195"/>
      <c r="CK158" s="195"/>
      <c r="CL158" s="195"/>
      <c r="CM158" s="195"/>
      <c r="CN158" s="195"/>
      <c r="CO158" s="195"/>
      <c r="CP158" s="195"/>
      <c r="CQ158" s="195"/>
      <c r="CR158" s="195"/>
      <c r="CS158" s="195"/>
      <c r="CT158" s="195"/>
      <c r="CU158" s="195"/>
      <c r="CV158" s="195"/>
      <c r="CW158" s="195"/>
      <c r="CX158" s="195"/>
      <c r="CY158" s="195"/>
      <c r="CZ158" s="195"/>
      <c r="DA158" s="195"/>
      <c r="DB158" s="195"/>
      <c r="DC158" s="195"/>
      <c r="DD158" s="195"/>
      <c r="DE158" s="195"/>
      <c r="DF158" s="195"/>
      <c r="DG158" s="195"/>
      <c r="DH158" s="195"/>
      <c r="DI158" s="195"/>
      <c r="DJ158" s="195"/>
      <c r="DK158" s="195"/>
      <c r="DL158" s="195"/>
      <c r="DM158" s="195"/>
      <c r="DN158" s="195"/>
      <c r="DO158" s="195"/>
      <c r="DP158" s="195"/>
      <c r="DQ158" s="195"/>
      <c r="DR158" s="195"/>
      <c r="DS158" s="195"/>
      <c r="DT158" s="195"/>
      <c r="DU158" s="195"/>
      <c r="DV158" s="195"/>
      <c r="DW158" s="195"/>
      <c r="DX158" s="195"/>
      <c r="DY158" s="195"/>
      <c r="DZ158" s="195"/>
      <c r="EA158" s="195"/>
      <c r="EB158" s="195"/>
      <c r="EC158" s="195"/>
      <c r="ED158" s="195"/>
      <c r="EE158" s="195"/>
      <c r="EF158" s="195"/>
      <c r="EG158" s="195"/>
      <c r="EH158" s="195"/>
      <c r="EI158" s="195"/>
      <c r="EJ158" s="195"/>
      <c r="EK158" s="195"/>
      <c r="EL158" s="195"/>
      <c r="EM158" s="195"/>
      <c r="EN158" s="195"/>
      <c r="EO158" s="195"/>
      <c r="EP158" s="195"/>
      <c r="EQ158" s="195"/>
      <c r="ER158" s="195"/>
      <c r="ES158" s="195"/>
      <c r="ET158" s="195"/>
      <c r="EU158" s="195"/>
      <c r="EV158" s="195"/>
      <c r="EW158" s="195"/>
      <c r="EX158" s="195"/>
      <c r="EY158" s="195"/>
      <c r="EZ158" s="195"/>
      <c r="FA158" s="195"/>
      <c r="FB158" s="195"/>
      <c r="FC158" s="195"/>
      <c r="FD158" s="195"/>
      <c r="FE158" s="123"/>
      <c r="FF158" s="123"/>
      <c r="FG158" s="123"/>
      <c r="FH158" s="123"/>
      <c r="FJ158" s="122"/>
      <c r="FK158" s="123"/>
      <c r="FL158" s="131"/>
      <c r="FM158" s="132"/>
      <c r="FN158" s="123"/>
      <c r="FO158" s="123"/>
      <c r="FP158" s="123"/>
      <c r="FQ158" s="123"/>
      <c r="FR158" s="123"/>
    </row>
    <row r="159" spans="1:174" ht="24" customHeight="1" x14ac:dyDescent="0.2">
      <c r="C159" s="30" t="s">
        <v>399</v>
      </c>
      <c r="D159" s="94"/>
      <c r="E159" s="51"/>
      <c r="F159" s="83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195"/>
      <c r="U159" s="195"/>
      <c r="V159" s="195"/>
      <c r="W159" s="195"/>
      <c r="X159" s="195"/>
      <c r="Y159" s="22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  <c r="BB159" s="195"/>
      <c r="BC159" s="195"/>
      <c r="BD159" s="195"/>
      <c r="BE159" s="195"/>
      <c r="BF159" s="195"/>
      <c r="BG159" s="195"/>
      <c r="BH159" s="195"/>
      <c r="BI159" s="195"/>
      <c r="BJ159" s="195"/>
      <c r="BK159" s="195"/>
      <c r="BL159" s="195"/>
      <c r="BM159" s="195"/>
      <c r="BN159" s="195"/>
      <c r="BO159" s="195"/>
      <c r="BP159" s="195"/>
      <c r="BQ159" s="195"/>
      <c r="BR159" s="195"/>
      <c r="BS159" s="195"/>
      <c r="BT159" s="195"/>
      <c r="BU159" s="195"/>
      <c r="BV159" s="195"/>
      <c r="BW159" s="195"/>
      <c r="BX159" s="195"/>
      <c r="BY159" s="195"/>
      <c r="BZ159" s="195"/>
      <c r="CA159" s="195"/>
      <c r="CB159" s="195"/>
      <c r="CC159" s="195"/>
      <c r="CD159" s="195"/>
      <c r="CE159" s="195"/>
      <c r="CF159" s="195"/>
      <c r="CG159" s="195"/>
      <c r="CH159" s="195"/>
      <c r="CI159" s="195"/>
      <c r="CJ159" s="195"/>
      <c r="CK159" s="195"/>
      <c r="CL159" s="195"/>
      <c r="CM159" s="195"/>
      <c r="CN159" s="195"/>
      <c r="CO159" s="195"/>
      <c r="CP159" s="195"/>
      <c r="CQ159" s="195"/>
      <c r="CR159" s="195"/>
      <c r="CS159" s="195"/>
      <c r="CT159" s="195"/>
      <c r="CU159" s="195"/>
      <c r="CV159" s="195"/>
      <c r="CW159" s="195"/>
      <c r="CX159" s="195"/>
      <c r="CY159" s="195"/>
      <c r="CZ159" s="195"/>
      <c r="DA159" s="195"/>
      <c r="DB159" s="195"/>
      <c r="DC159" s="195"/>
      <c r="DD159" s="195"/>
      <c r="DE159" s="195"/>
      <c r="DF159" s="195"/>
      <c r="DG159" s="195"/>
      <c r="DH159" s="195"/>
      <c r="DI159" s="195"/>
      <c r="DJ159" s="195"/>
      <c r="DK159" s="195"/>
      <c r="DL159" s="195"/>
      <c r="DM159" s="195"/>
      <c r="DN159" s="195"/>
      <c r="DO159" s="195"/>
      <c r="DP159" s="195"/>
      <c r="DQ159" s="195"/>
      <c r="DR159" s="195"/>
      <c r="DS159" s="195"/>
      <c r="DT159" s="195"/>
      <c r="DU159" s="195"/>
      <c r="DV159" s="195"/>
      <c r="DW159" s="195"/>
      <c r="DX159" s="195"/>
      <c r="DY159" s="195"/>
      <c r="DZ159" s="195"/>
      <c r="EA159" s="195"/>
      <c r="EB159" s="195"/>
      <c r="EC159" s="195"/>
      <c r="ED159" s="195"/>
      <c r="EE159" s="195"/>
      <c r="EF159" s="195"/>
      <c r="EG159" s="195"/>
      <c r="EH159" s="195"/>
      <c r="EI159" s="195"/>
      <c r="EJ159" s="195"/>
      <c r="EK159" s="195"/>
      <c r="EL159" s="195"/>
      <c r="EM159" s="195"/>
      <c r="EN159" s="195"/>
      <c r="EO159" s="195"/>
      <c r="EP159" s="195"/>
      <c r="EQ159" s="195"/>
      <c r="ER159" s="195"/>
      <c r="ES159" s="195"/>
      <c r="ET159" s="195"/>
      <c r="EU159" s="195"/>
      <c r="EV159" s="195"/>
      <c r="EW159" s="195"/>
      <c r="EX159" s="195"/>
      <c r="EY159" s="195"/>
      <c r="EZ159" s="195"/>
      <c r="FA159" s="195"/>
      <c r="FB159" s="195"/>
      <c r="FC159" s="195"/>
      <c r="FD159" s="195"/>
      <c r="FE159" s="123"/>
      <c r="FF159" s="123"/>
      <c r="FG159" s="123"/>
      <c r="FH159" s="123"/>
      <c r="FJ159" s="122"/>
      <c r="FK159" s="123"/>
      <c r="FL159" s="131"/>
      <c r="FM159" s="132"/>
      <c r="FN159" s="123"/>
      <c r="FO159" s="123"/>
      <c r="FP159" s="123"/>
      <c r="FQ159" s="123"/>
      <c r="FR159" s="123"/>
    </row>
    <row r="160" spans="1:174" ht="24" customHeight="1" x14ac:dyDescent="0.2">
      <c r="C160" s="30" t="s">
        <v>400</v>
      </c>
      <c r="D160" s="94"/>
      <c r="E160" s="51"/>
      <c r="F160" s="83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195"/>
      <c r="U160" s="195"/>
      <c r="V160" s="195"/>
      <c r="W160" s="195"/>
      <c r="X160" s="195"/>
      <c r="Y160" s="22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  <c r="BB160" s="195"/>
      <c r="BC160" s="195"/>
      <c r="BD160" s="195"/>
      <c r="BE160" s="195"/>
      <c r="BF160" s="195"/>
      <c r="BG160" s="195"/>
      <c r="BH160" s="195"/>
      <c r="BI160" s="195"/>
      <c r="BJ160" s="195"/>
      <c r="BK160" s="195"/>
      <c r="BL160" s="195"/>
      <c r="BM160" s="195"/>
      <c r="BN160" s="195"/>
      <c r="BO160" s="195"/>
      <c r="BP160" s="195"/>
      <c r="BQ160" s="195"/>
      <c r="BR160" s="195"/>
      <c r="BS160" s="195"/>
      <c r="BT160" s="195"/>
      <c r="BU160" s="195"/>
      <c r="BV160" s="195"/>
      <c r="BW160" s="195"/>
      <c r="BX160" s="195"/>
      <c r="BY160" s="195"/>
      <c r="BZ160" s="195"/>
      <c r="CA160" s="195"/>
      <c r="CB160" s="195"/>
      <c r="CC160" s="195"/>
      <c r="CD160" s="195"/>
      <c r="CE160" s="195"/>
      <c r="CF160" s="195"/>
      <c r="CG160" s="195"/>
      <c r="CH160" s="195"/>
      <c r="CI160" s="195"/>
      <c r="CJ160" s="195"/>
      <c r="CK160" s="195"/>
      <c r="CL160" s="195"/>
      <c r="CM160" s="195"/>
      <c r="CN160" s="195"/>
      <c r="CO160" s="195"/>
      <c r="CP160" s="195"/>
      <c r="CQ160" s="195"/>
      <c r="CR160" s="195"/>
      <c r="CS160" s="195"/>
      <c r="CT160" s="195"/>
      <c r="CU160" s="195"/>
      <c r="CV160" s="195"/>
      <c r="CW160" s="195"/>
      <c r="CX160" s="195"/>
      <c r="CY160" s="195"/>
      <c r="CZ160" s="195"/>
      <c r="DA160" s="195"/>
      <c r="DB160" s="195"/>
      <c r="DC160" s="195"/>
      <c r="DD160" s="195"/>
      <c r="DE160" s="195"/>
      <c r="DF160" s="195"/>
      <c r="DG160" s="195"/>
      <c r="DH160" s="195"/>
      <c r="DI160" s="195"/>
      <c r="DJ160" s="195"/>
      <c r="DK160" s="195"/>
      <c r="DL160" s="195"/>
      <c r="DM160" s="195"/>
      <c r="DN160" s="195"/>
      <c r="DO160" s="195"/>
      <c r="DP160" s="195"/>
      <c r="DQ160" s="195"/>
      <c r="DR160" s="195"/>
      <c r="DS160" s="195"/>
      <c r="DT160" s="195"/>
      <c r="DU160" s="195"/>
      <c r="DV160" s="195"/>
      <c r="DW160" s="195"/>
      <c r="DX160" s="195"/>
      <c r="DY160" s="195"/>
      <c r="DZ160" s="195"/>
      <c r="EA160" s="195"/>
      <c r="EB160" s="195"/>
      <c r="EC160" s="195"/>
      <c r="ED160" s="195"/>
      <c r="EE160" s="195"/>
      <c r="EF160" s="195"/>
      <c r="EG160" s="195"/>
      <c r="EH160" s="195"/>
      <c r="EI160" s="195"/>
      <c r="EJ160" s="195"/>
      <c r="EK160" s="195"/>
      <c r="EL160" s="195"/>
      <c r="EM160" s="195"/>
      <c r="EN160" s="195"/>
      <c r="EO160" s="195"/>
      <c r="EP160" s="195"/>
      <c r="EQ160" s="195"/>
      <c r="ER160" s="195"/>
      <c r="ES160" s="195"/>
      <c r="ET160" s="195"/>
      <c r="EU160" s="195"/>
      <c r="EV160" s="195"/>
      <c r="EW160" s="195"/>
      <c r="EX160" s="195"/>
      <c r="EY160" s="195"/>
      <c r="EZ160" s="195"/>
      <c r="FA160" s="195"/>
      <c r="FB160" s="195"/>
      <c r="FC160" s="195"/>
      <c r="FD160" s="195"/>
      <c r="FE160" s="123"/>
      <c r="FF160" s="123"/>
      <c r="FG160" s="123"/>
      <c r="FH160" s="123"/>
      <c r="FJ160" s="122"/>
      <c r="FK160" s="123"/>
      <c r="FL160" s="131"/>
      <c r="FM160" s="132"/>
      <c r="FN160" s="123"/>
      <c r="FO160" s="123"/>
      <c r="FP160" s="123"/>
      <c r="FQ160" s="123"/>
      <c r="FR160" s="123"/>
    </row>
    <row r="161" spans="1:174" s="98" customFormat="1" ht="12.75" customHeight="1" x14ac:dyDescent="0.2">
      <c r="C161" s="418" t="s">
        <v>278</v>
      </c>
      <c r="D161" s="418"/>
      <c r="E161" s="418"/>
      <c r="F161" s="418"/>
      <c r="G161" s="99">
        <f>SUM(G147:G151)</f>
        <v>7494.9450000000006</v>
      </c>
      <c r="H161" s="99">
        <f>SUM(H147:H151)</f>
        <v>8793.045516666667</v>
      </c>
      <c r="I161" s="99">
        <f>SUM(I147:I151)</f>
        <v>10754.687183333333</v>
      </c>
      <c r="J161" s="99">
        <f>SUM(J147:J151)</f>
        <v>12180.948736666667</v>
      </c>
      <c r="K161" s="99">
        <f t="shared" ref="K161:S161" si="44">SUM(K147:K151)</f>
        <v>0</v>
      </c>
      <c r="L161" s="99">
        <f t="shared" si="44"/>
        <v>0</v>
      </c>
      <c r="M161" s="99">
        <f t="shared" si="44"/>
        <v>0</v>
      </c>
      <c r="N161" s="99">
        <f t="shared" si="44"/>
        <v>0</v>
      </c>
      <c r="O161" s="99">
        <f t="shared" si="44"/>
        <v>0</v>
      </c>
      <c r="P161" s="99">
        <f t="shared" si="44"/>
        <v>0</v>
      </c>
      <c r="Q161" s="99">
        <f t="shared" si="44"/>
        <v>0</v>
      </c>
      <c r="R161" s="99">
        <f t="shared" si="44"/>
        <v>0</v>
      </c>
      <c r="S161" s="99">
        <f t="shared" si="44"/>
        <v>0</v>
      </c>
      <c r="T161" s="195"/>
      <c r="U161" s="195"/>
      <c r="V161" s="195"/>
      <c r="W161" s="195"/>
      <c r="X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  <c r="BB161" s="195"/>
      <c r="BC161" s="195"/>
      <c r="BD161" s="195"/>
      <c r="BE161" s="195"/>
      <c r="BF161" s="195"/>
      <c r="BG161" s="195"/>
      <c r="BH161" s="195"/>
      <c r="BI161" s="195"/>
      <c r="BJ161" s="195"/>
      <c r="BK161" s="195"/>
      <c r="BL161" s="195"/>
      <c r="BM161" s="195"/>
      <c r="BN161" s="195"/>
      <c r="BO161" s="195"/>
      <c r="BP161" s="195"/>
      <c r="BQ161" s="195"/>
      <c r="BR161" s="195"/>
      <c r="BS161" s="195"/>
      <c r="BT161" s="195"/>
      <c r="BU161" s="195"/>
      <c r="BV161" s="195"/>
      <c r="BW161" s="195"/>
      <c r="BX161" s="195"/>
      <c r="BY161" s="195"/>
      <c r="BZ161" s="195"/>
      <c r="CA161" s="195"/>
      <c r="CB161" s="195"/>
      <c r="CC161" s="195"/>
      <c r="CD161" s="195"/>
      <c r="CE161" s="195"/>
      <c r="CF161" s="195"/>
      <c r="CG161" s="195"/>
      <c r="CH161" s="195"/>
      <c r="CI161" s="195"/>
      <c r="CJ161" s="195"/>
      <c r="CK161" s="195"/>
      <c r="CL161" s="195"/>
      <c r="CM161" s="195"/>
      <c r="CN161" s="195"/>
      <c r="CO161" s="195"/>
      <c r="CP161" s="195"/>
      <c r="CQ161" s="195"/>
      <c r="CR161" s="195"/>
      <c r="CS161" s="195"/>
      <c r="CT161" s="195"/>
      <c r="CU161" s="195"/>
      <c r="CV161" s="195"/>
      <c r="CW161" s="195"/>
      <c r="CX161" s="195"/>
      <c r="CY161" s="195"/>
      <c r="CZ161" s="195"/>
      <c r="DA161" s="195"/>
      <c r="DB161" s="195"/>
      <c r="DC161" s="195"/>
      <c r="DD161" s="195"/>
      <c r="DE161" s="195"/>
      <c r="DF161" s="195"/>
      <c r="DG161" s="195"/>
      <c r="DH161" s="195"/>
      <c r="DI161" s="195"/>
      <c r="DJ161" s="195"/>
      <c r="DK161" s="195"/>
      <c r="DL161" s="195"/>
      <c r="DM161" s="195"/>
      <c r="DN161" s="195"/>
      <c r="DO161" s="195"/>
      <c r="DP161" s="195"/>
      <c r="DQ161" s="195"/>
      <c r="DR161" s="195"/>
      <c r="DS161" s="195"/>
      <c r="DT161" s="195"/>
      <c r="DU161" s="195"/>
      <c r="DV161" s="195"/>
      <c r="DW161" s="195"/>
      <c r="DX161" s="195"/>
      <c r="DY161" s="195"/>
      <c r="DZ161" s="195"/>
      <c r="EA161" s="195"/>
      <c r="EB161" s="195"/>
      <c r="EC161" s="195"/>
      <c r="ED161" s="195"/>
      <c r="EE161" s="195"/>
      <c r="EF161" s="195"/>
      <c r="EG161" s="195"/>
      <c r="EH161" s="195"/>
      <c r="EI161" s="195"/>
      <c r="EJ161" s="195"/>
      <c r="EK161" s="195"/>
      <c r="EL161" s="195"/>
      <c r="EM161" s="195"/>
      <c r="EN161" s="195"/>
      <c r="EO161" s="195"/>
      <c r="EP161" s="195"/>
      <c r="EQ161" s="195"/>
      <c r="ER161" s="195"/>
      <c r="ES161" s="195"/>
      <c r="ET161" s="195"/>
      <c r="EU161" s="195"/>
      <c r="EV161" s="195"/>
      <c r="EW161" s="195"/>
      <c r="EX161" s="195"/>
      <c r="EY161" s="195"/>
      <c r="EZ161" s="195"/>
      <c r="FA161" s="195"/>
      <c r="FB161" s="195"/>
      <c r="FC161" s="195"/>
      <c r="FD161" s="195"/>
      <c r="FE161" s="133"/>
      <c r="FF161" s="133"/>
      <c r="FG161" s="133"/>
      <c r="FH161" s="133"/>
      <c r="FJ161" s="134"/>
      <c r="FK161" s="134"/>
      <c r="FL161" s="134"/>
      <c r="FM161" s="134"/>
      <c r="FN161" s="133"/>
      <c r="FO161" s="133"/>
      <c r="FP161" s="133"/>
      <c r="FQ161" s="133"/>
      <c r="FR161" s="133"/>
    </row>
    <row r="162" spans="1:174" x14ac:dyDescent="0.2"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  <c r="BB162" s="195"/>
      <c r="BC162" s="195"/>
      <c r="BD162" s="195"/>
      <c r="BE162" s="195"/>
      <c r="BF162" s="195"/>
      <c r="BG162" s="195"/>
      <c r="BH162" s="195"/>
      <c r="BI162" s="195"/>
      <c r="BJ162" s="195"/>
      <c r="BK162" s="195"/>
      <c r="BL162" s="195"/>
      <c r="BM162" s="195"/>
      <c r="BN162" s="195"/>
      <c r="BO162" s="195"/>
      <c r="BP162" s="195"/>
      <c r="BQ162" s="195"/>
      <c r="BR162" s="195"/>
      <c r="BS162" s="195"/>
      <c r="BT162" s="195"/>
      <c r="BU162" s="195"/>
      <c r="BV162" s="195"/>
      <c r="BW162" s="195"/>
      <c r="BX162" s="195"/>
      <c r="BY162" s="195"/>
      <c r="BZ162" s="195"/>
      <c r="CA162" s="195"/>
      <c r="CB162" s="195"/>
      <c r="CC162" s="195"/>
      <c r="CD162" s="195"/>
      <c r="CE162" s="195"/>
      <c r="CF162" s="195"/>
      <c r="CG162" s="195"/>
      <c r="CH162" s="195"/>
      <c r="CI162" s="195"/>
      <c r="CJ162" s="195"/>
      <c r="CK162" s="195"/>
      <c r="CL162" s="195"/>
      <c r="CM162" s="195"/>
      <c r="CN162" s="195"/>
      <c r="CO162" s="195"/>
      <c r="CP162" s="195"/>
      <c r="CQ162" s="195"/>
      <c r="CR162" s="195"/>
      <c r="CS162" s="195"/>
      <c r="CT162" s="195"/>
      <c r="CU162" s="195"/>
      <c r="CV162" s="195"/>
      <c r="CW162" s="195"/>
      <c r="CX162" s="195"/>
      <c r="CY162" s="195"/>
      <c r="CZ162" s="195"/>
      <c r="DA162" s="195"/>
      <c r="DB162" s="195"/>
      <c r="DC162" s="195"/>
      <c r="DD162" s="195"/>
      <c r="DE162" s="195"/>
      <c r="DF162" s="195"/>
      <c r="DG162" s="195"/>
      <c r="DH162" s="195"/>
      <c r="DI162" s="195"/>
      <c r="DJ162" s="195"/>
      <c r="DK162" s="195"/>
      <c r="DL162" s="195"/>
      <c r="DM162" s="195"/>
      <c r="DN162" s="195"/>
      <c r="DO162" s="195"/>
      <c r="DP162" s="195"/>
      <c r="DQ162" s="195"/>
      <c r="DR162" s="195"/>
      <c r="DS162" s="195"/>
      <c r="DT162" s="195"/>
      <c r="DU162" s="195"/>
      <c r="DV162" s="195"/>
      <c r="DW162" s="195"/>
      <c r="DX162" s="195"/>
      <c r="DY162" s="195"/>
      <c r="DZ162" s="195"/>
      <c r="EA162" s="195"/>
      <c r="EB162" s="195"/>
      <c r="EC162" s="195"/>
      <c r="ED162" s="195"/>
      <c r="EE162" s="195"/>
      <c r="EF162" s="195"/>
      <c r="EG162" s="195"/>
      <c r="EH162" s="195"/>
      <c r="EI162" s="195"/>
      <c r="EJ162" s="195"/>
      <c r="EK162" s="195"/>
      <c r="EL162" s="195"/>
      <c r="EM162" s="195"/>
      <c r="EN162" s="195"/>
      <c r="EO162" s="195"/>
      <c r="EP162" s="195"/>
      <c r="EQ162" s="195"/>
      <c r="ER162" s="195"/>
      <c r="ES162" s="195"/>
      <c r="ET162" s="195"/>
      <c r="EU162" s="195"/>
      <c r="EV162" s="195"/>
      <c r="EW162" s="195"/>
      <c r="EX162" s="195"/>
      <c r="EY162" s="195"/>
      <c r="EZ162" s="195"/>
      <c r="FA162" s="195"/>
      <c r="FB162" s="195"/>
      <c r="FC162" s="195"/>
      <c r="FD162" s="195"/>
    </row>
    <row r="163" spans="1:174" x14ac:dyDescent="0.2"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  <c r="BB163" s="195"/>
      <c r="BC163" s="195"/>
      <c r="BD163" s="195"/>
      <c r="BE163" s="195"/>
      <c r="BF163" s="195"/>
      <c r="BG163" s="195"/>
      <c r="BH163" s="195"/>
      <c r="BI163" s="195"/>
      <c r="BJ163" s="195"/>
      <c r="BK163" s="195"/>
      <c r="BL163" s="195"/>
      <c r="BM163" s="195"/>
      <c r="BN163" s="195"/>
      <c r="BO163" s="195"/>
      <c r="BP163" s="195"/>
      <c r="BQ163" s="195"/>
      <c r="BR163" s="195"/>
      <c r="BS163" s="195"/>
      <c r="BT163" s="195"/>
      <c r="BU163" s="195"/>
      <c r="BV163" s="195"/>
      <c r="BW163" s="195"/>
      <c r="BX163" s="195"/>
      <c r="BY163" s="195"/>
      <c r="BZ163" s="195"/>
      <c r="CA163" s="195"/>
      <c r="CB163" s="195"/>
      <c r="CC163" s="195"/>
      <c r="CD163" s="195"/>
      <c r="CE163" s="195"/>
      <c r="CF163" s="195"/>
      <c r="CG163" s="195"/>
      <c r="CH163" s="195"/>
      <c r="CI163" s="195"/>
      <c r="CJ163" s="195"/>
      <c r="CK163" s="195"/>
      <c r="CL163" s="195"/>
      <c r="CM163" s="195"/>
      <c r="CN163" s="195"/>
      <c r="CO163" s="195"/>
      <c r="CP163" s="195"/>
      <c r="CQ163" s="195"/>
      <c r="CR163" s="195"/>
      <c r="CS163" s="195"/>
      <c r="CT163" s="195"/>
      <c r="CU163" s="195"/>
      <c r="CV163" s="195"/>
      <c r="CW163" s="195"/>
      <c r="CX163" s="195"/>
      <c r="CY163" s="195"/>
      <c r="CZ163" s="195"/>
      <c r="DA163" s="195"/>
      <c r="DB163" s="195"/>
      <c r="DC163" s="195"/>
      <c r="DD163" s="195"/>
      <c r="DE163" s="195"/>
      <c r="DF163" s="195"/>
      <c r="DG163" s="195"/>
      <c r="DH163" s="195"/>
      <c r="DI163" s="195"/>
      <c r="DJ163" s="195"/>
      <c r="DK163" s="195"/>
      <c r="DL163" s="195"/>
      <c r="DM163" s="195"/>
      <c r="DN163" s="195"/>
      <c r="DO163" s="195"/>
      <c r="DP163" s="195"/>
      <c r="DQ163" s="195"/>
      <c r="DR163" s="195"/>
      <c r="DS163" s="195"/>
      <c r="DT163" s="195"/>
      <c r="DU163" s="195"/>
      <c r="DV163" s="195"/>
      <c r="DW163" s="195"/>
      <c r="DX163" s="195"/>
      <c r="DY163" s="195"/>
      <c r="DZ163" s="195"/>
      <c r="EA163" s="195"/>
      <c r="EB163" s="195"/>
      <c r="EC163" s="195"/>
      <c r="ED163" s="195"/>
      <c r="EE163" s="195"/>
      <c r="EF163" s="195"/>
      <c r="EG163" s="195"/>
      <c r="EH163" s="195"/>
      <c r="EI163" s="195"/>
      <c r="EJ163" s="195"/>
      <c r="EK163" s="195"/>
      <c r="EL163" s="195"/>
      <c r="EM163" s="195"/>
      <c r="EN163" s="195"/>
      <c r="EO163" s="195"/>
      <c r="EP163" s="195"/>
      <c r="EQ163" s="195"/>
      <c r="ER163" s="195"/>
      <c r="ES163" s="195"/>
      <c r="ET163" s="195"/>
      <c r="EU163" s="195"/>
      <c r="EV163" s="195"/>
      <c r="EW163" s="195"/>
      <c r="EX163" s="195"/>
      <c r="EY163" s="195"/>
      <c r="EZ163" s="195"/>
      <c r="FA163" s="195"/>
      <c r="FB163" s="195"/>
      <c r="FC163" s="195"/>
      <c r="FD163" s="195"/>
    </row>
    <row r="164" spans="1:174" x14ac:dyDescent="0.2"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  <c r="BB164" s="195"/>
      <c r="BC164" s="195"/>
      <c r="BD164" s="195"/>
      <c r="BE164" s="195"/>
      <c r="BF164" s="195"/>
      <c r="BG164" s="195"/>
      <c r="BH164" s="195"/>
      <c r="BI164" s="195"/>
      <c r="BJ164" s="195"/>
      <c r="BK164" s="195"/>
      <c r="BL164" s="195"/>
      <c r="BM164" s="195"/>
      <c r="BN164" s="195"/>
      <c r="BO164" s="195"/>
      <c r="BP164" s="195"/>
      <c r="BQ164" s="195"/>
      <c r="BR164" s="195"/>
      <c r="BS164" s="195"/>
      <c r="BT164" s="195"/>
      <c r="BU164" s="195"/>
      <c r="BV164" s="195"/>
      <c r="BW164" s="195"/>
      <c r="BX164" s="195"/>
      <c r="BY164" s="195"/>
      <c r="BZ164" s="195"/>
      <c r="CA164" s="195"/>
      <c r="CB164" s="195"/>
      <c r="CC164" s="195"/>
      <c r="CD164" s="195"/>
      <c r="CE164" s="195"/>
      <c r="CF164" s="195"/>
      <c r="CG164" s="195"/>
      <c r="CH164" s="195"/>
      <c r="CI164" s="195"/>
      <c r="CJ164" s="195"/>
      <c r="CK164" s="195"/>
      <c r="CL164" s="195"/>
      <c r="CM164" s="195"/>
      <c r="CN164" s="195"/>
      <c r="CO164" s="195"/>
      <c r="CP164" s="195"/>
      <c r="CQ164" s="195"/>
      <c r="CR164" s="195"/>
      <c r="CS164" s="195"/>
      <c r="CT164" s="195"/>
      <c r="CU164" s="195"/>
      <c r="CV164" s="195"/>
      <c r="CW164" s="195"/>
      <c r="CX164" s="195"/>
      <c r="CY164" s="195"/>
      <c r="CZ164" s="195"/>
      <c r="DA164" s="195"/>
      <c r="DB164" s="195"/>
      <c r="DC164" s="195"/>
      <c r="DD164" s="195"/>
      <c r="DE164" s="195"/>
      <c r="DF164" s="195"/>
      <c r="DG164" s="195"/>
      <c r="DH164" s="195"/>
      <c r="DI164" s="195"/>
      <c r="DJ164" s="195"/>
      <c r="DK164" s="195"/>
      <c r="DL164" s="195"/>
      <c r="DM164" s="195"/>
      <c r="DN164" s="195"/>
      <c r="DO164" s="195"/>
      <c r="DP164" s="195"/>
      <c r="DQ164" s="195"/>
      <c r="DR164" s="195"/>
      <c r="DS164" s="195"/>
      <c r="DT164" s="195"/>
      <c r="DU164" s="195"/>
      <c r="DV164" s="195"/>
      <c r="DW164" s="195"/>
      <c r="DX164" s="195"/>
      <c r="DY164" s="195"/>
      <c r="DZ164" s="195"/>
      <c r="EA164" s="195"/>
      <c r="EB164" s="195"/>
      <c r="EC164" s="195"/>
      <c r="ED164" s="195"/>
      <c r="EE164" s="195"/>
      <c r="EF164" s="195"/>
      <c r="EG164" s="195"/>
      <c r="EH164" s="195"/>
      <c r="EI164" s="195"/>
      <c r="EJ164" s="195"/>
      <c r="EK164" s="195"/>
      <c r="EL164" s="195"/>
      <c r="EM164" s="195"/>
      <c r="EN164" s="195"/>
      <c r="EO164" s="195"/>
      <c r="EP164" s="195"/>
      <c r="EQ164" s="195"/>
      <c r="ER164" s="195"/>
      <c r="ES164" s="195"/>
      <c r="ET164" s="195"/>
      <c r="EU164" s="195"/>
      <c r="EV164" s="195"/>
      <c r="EW164" s="195"/>
      <c r="EX164" s="195"/>
      <c r="EY164" s="195"/>
      <c r="EZ164" s="195"/>
      <c r="FA164" s="195"/>
      <c r="FB164" s="195"/>
      <c r="FC164" s="195"/>
      <c r="FD164" s="195"/>
    </row>
    <row r="165" spans="1:174" x14ac:dyDescent="0.2">
      <c r="A165" s="93">
        <f>SUM(D168:D172)-'Перечень инв.проектов ГС'!AF21</f>
        <v>0</v>
      </c>
      <c r="C165" s="196" t="s">
        <v>594</v>
      </c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  <c r="BB165" s="195"/>
      <c r="BC165" s="195"/>
      <c r="BD165" s="195"/>
      <c r="BE165" s="195"/>
      <c r="BF165" s="195"/>
      <c r="BG165" s="195"/>
      <c r="BH165" s="195"/>
      <c r="BI165" s="195"/>
      <c r="BJ165" s="195"/>
      <c r="BK165" s="195"/>
      <c r="BL165" s="195"/>
      <c r="BM165" s="195"/>
      <c r="BN165" s="195"/>
      <c r="BO165" s="195"/>
      <c r="BP165" s="195"/>
      <c r="BQ165" s="195"/>
      <c r="BR165" s="195"/>
      <c r="BS165" s="195"/>
      <c r="BT165" s="195"/>
      <c r="BU165" s="195"/>
    </row>
    <row r="166" spans="1:174" ht="13.15" customHeight="1" x14ac:dyDescent="0.2">
      <c r="A166" s="26" t="s">
        <v>289</v>
      </c>
      <c r="C166" s="411" t="s">
        <v>267</v>
      </c>
      <c r="D166" s="411" t="s">
        <v>268</v>
      </c>
      <c r="E166" s="411" t="s">
        <v>269</v>
      </c>
      <c r="F166" s="411" t="s">
        <v>270</v>
      </c>
      <c r="G166" s="415" t="s">
        <v>271</v>
      </c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7"/>
      <c r="T166" s="195"/>
      <c r="U166" s="195"/>
      <c r="V166" s="195"/>
      <c r="W166" s="195"/>
      <c r="X166" s="195"/>
      <c r="Y166" s="22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  <c r="BB166" s="195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195"/>
      <c r="BM166" s="195"/>
      <c r="BN166" s="195"/>
      <c r="BO166" s="195"/>
      <c r="BP166" s="195"/>
      <c r="BQ166" s="195"/>
      <c r="BR166" s="195"/>
      <c r="BS166" s="195"/>
      <c r="BT166" s="195"/>
    </row>
    <row r="167" spans="1:174" x14ac:dyDescent="0.2">
      <c r="C167" s="411"/>
      <c r="D167" s="411"/>
      <c r="E167" s="411"/>
      <c r="F167" s="411"/>
      <c r="G167" s="5">
        <v>2023</v>
      </c>
      <c r="H167" s="5">
        <v>2024</v>
      </c>
      <c r="I167" s="5">
        <v>2025</v>
      </c>
      <c r="J167" s="5">
        <v>2026</v>
      </c>
      <c r="K167" s="5">
        <v>2027</v>
      </c>
      <c r="L167" s="5">
        <v>2028</v>
      </c>
      <c r="M167" s="5">
        <v>2029</v>
      </c>
      <c r="N167" s="5">
        <v>2030</v>
      </c>
      <c r="O167" s="5">
        <v>2031</v>
      </c>
      <c r="P167" s="5">
        <v>2032</v>
      </c>
      <c r="Q167" s="5">
        <v>2033</v>
      </c>
      <c r="R167" s="5">
        <v>2034</v>
      </c>
      <c r="S167" s="5">
        <v>2035</v>
      </c>
      <c r="T167" s="195"/>
      <c r="U167" s="195"/>
      <c r="V167" s="195"/>
      <c r="W167" s="195"/>
      <c r="X167" s="195"/>
      <c r="Y167" s="22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  <c r="BB167" s="195"/>
      <c r="BC167" s="195"/>
      <c r="BD167" s="195"/>
      <c r="BE167" s="195"/>
      <c r="BF167" s="195"/>
      <c r="BG167" s="195"/>
      <c r="BH167" s="195"/>
      <c r="BI167" s="195"/>
      <c r="BJ167" s="195"/>
      <c r="BK167" s="195"/>
      <c r="BL167" s="195"/>
      <c r="BM167" s="195"/>
      <c r="BN167" s="195"/>
      <c r="BO167" s="195"/>
      <c r="BP167" s="195"/>
      <c r="BQ167" s="195"/>
      <c r="BR167" s="195"/>
      <c r="BS167" s="195"/>
      <c r="BT167" s="195"/>
    </row>
    <row r="168" spans="1:174" ht="25.5" hidden="1" customHeight="1" x14ac:dyDescent="0.2">
      <c r="C168" s="30" t="s">
        <v>274</v>
      </c>
      <c r="D168" s="103">
        <f>'Перечень инв.проектов ГС'!M21</f>
        <v>0</v>
      </c>
      <c r="E168" s="51">
        <v>30</v>
      </c>
      <c r="F168" s="83">
        <f>100/E168</f>
        <v>3.3333333333333335</v>
      </c>
      <c r="G168" s="94">
        <f t="shared" ref="G168:S173" si="45">$D168*$F168/100</f>
        <v>0</v>
      </c>
      <c r="H168" s="94">
        <f t="shared" si="45"/>
        <v>0</v>
      </c>
      <c r="I168" s="94">
        <f t="shared" si="45"/>
        <v>0</v>
      </c>
      <c r="J168" s="94">
        <f t="shared" si="45"/>
        <v>0</v>
      </c>
      <c r="K168" s="94">
        <f t="shared" si="45"/>
        <v>0</v>
      </c>
      <c r="L168" s="94">
        <f t="shared" si="45"/>
        <v>0</v>
      </c>
      <c r="M168" s="94">
        <f t="shared" si="45"/>
        <v>0</v>
      </c>
      <c r="N168" s="94">
        <f t="shared" si="45"/>
        <v>0</v>
      </c>
      <c r="O168" s="94">
        <f t="shared" si="45"/>
        <v>0</v>
      </c>
      <c r="P168" s="94">
        <f t="shared" si="45"/>
        <v>0</v>
      </c>
      <c r="Q168" s="94">
        <f t="shared" si="45"/>
        <v>0</v>
      </c>
      <c r="R168" s="94">
        <f t="shared" si="45"/>
        <v>0</v>
      </c>
      <c r="S168" s="94">
        <f t="shared" si="45"/>
        <v>0</v>
      </c>
      <c r="T168" s="195"/>
      <c r="U168" s="195"/>
      <c r="V168" s="195"/>
      <c r="W168" s="195"/>
      <c r="X168" s="195"/>
      <c r="Y168" s="22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  <c r="BB168" s="195"/>
      <c r="BC168" s="195"/>
      <c r="BD168" s="195"/>
      <c r="BE168" s="195"/>
      <c r="BF168" s="195"/>
      <c r="BG168" s="195"/>
      <c r="BH168" s="195"/>
      <c r="BI168" s="195"/>
      <c r="BJ168" s="195"/>
      <c r="BK168" s="195"/>
      <c r="BL168" s="195"/>
      <c r="BM168" s="195"/>
      <c r="BN168" s="195"/>
      <c r="BO168" s="195"/>
      <c r="BP168" s="195"/>
      <c r="BQ168" s="195"/>
      <c r="BR168" s="195"/>
      <c r="BS168" s="195"/>
      <c r="BT168" s="195"/>
    </row>
    <row r="169" spans="1:174" ht="25.5" x14ac:dyDescent="0.2">
      <c r="C169" s="30" t="s">
        <v>275</v>
      </c>
      <c r="D169" s="103">
        <f>'Перечень инв.проектов ГС'!N21</f>
        <v>0</v>
      </c>
      <c r="E169" s="51">
        <v>30</v>
      </c>
      <c r="F169" s="83">
        <f>100/E169</f>
        <v>3.3333333333333335</v>
      </c>
      <c r="G169" s="94">
        <f t="shared" si="45"/>
        <v>0</v>
      </c>
      <c r="H169" s="94">
        <f t="shared" si="45"/>
        <v>0</v>
      </c>
      <c r="I169" s="94">
        <f t="shared" si="45"/>
        <v>0</v>
      </c>
      <c r="J169" s="94">
        <f t="shared" si="45"/>
        <v>0</v>
      </c>
      <c r="K169" s="94">
        <f t="shared" ref="K169:S181" si="46">$D169*$F169/100</f>
        <v>0</v>
      </c>
      <c r="L169" s="94">
        <f t="shared" si="46"/>
        <v>0</v>
      </c>
      <c r="M169" s="94">
        <f t="shared" si="46"/>
        <v>0</v>
      </c>
      <c r="N169" s="94">
        <f t="shared" si="46"/>
        <v>0</v>
      </c>
      <c r="O169" s="94">
        <f t="shared" si="46"/>
        <v>0</v>
      </c>
      <c r="P169" s="94">
        <f t="shared" si="46"/>
        <v>0</v>
      </c>
      <c r="Q169" s="94">
        <f t="shared" si="46"/>
        <v>0</v>
      </c>
      <c r="R169" s="94">
        <f t="shared" si="46"/>
        <v>0</v>
      </c>
      <c r="S169" s="94">
        <f t="shared" si="46"/>
        <v>0</v>
      </c>
      <c r="T169" s="195"/>
      <c r="U169" s="195"/>
      <c r="V169" s="195"/>
      <c r="W169" s="195"/>
      <c r="X169" s="195"/>
      <c r="Y169" s="22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  <c r="BB169" s="195"/>
      <c r="BC169" s="195"/>
      <c r="BD169" s="195"/>
      <c r="BE169" s="195"/>
      <c r="BF169" s="195"/>
      <c r="BG169" s="195"/>
      <c r="BH169" s="195"/>
      <c r="BI169" s="195"/>
      <c r="BJ169" s="195"/>
      <c r="BK169" s="195"/>
      <c r="BL169" s="195"/>
      <c r="BM169" s="195"/>
      <c r="BN169" s="195"/>
      <c r="BO169" s="195"/>
      <c r="BP169" s="195"/>
      <c r="BQ169" s="195"/>
      <c r="BR169" s="195"/>
      <c r="BS169" s="195"/>
      <c r="BT169" s="195"/>
    </row>
    <row r="170" spans="1:174" ht="25.5" x14ac:dyDescent="0.2">
      <c r="C170" s="30" t="s">
        <v>276</v>
      </c>
      <c r="D170" s="103">
        <f>'Перечень инв.проектов ГС'!O21</f>
        <v>0</v>
      </c>
      <c r="E170" s="51">
        <v>30</v>
      </c>
      <c r="F170" s="83">
        <f>100/E170</f>
        <v>3.3333333333333335</v>
      </c>
      <c r="G170" s="94"/>
      <c r="H170" s="94">
        <f t="shared" si="45"/>
        <v>0</v>
      </c>
      <c r="I170" s="94">
        <f t="shared" si="45"/>
        <v>0</v>
      </c>
      <c r="J170" s="94">
        <f t="shared" si="45"/>
        <v>0</v>
      </c>
      <c r="K170" s="94">
        <f t="shared" si="46"/>
        <v>0</v>
      </c>
      <c r="L170" s="94">
        <f t="shared" si="46"/>
        <v>0</v>
      </c>
      <c r="M170" s="94">
        <f t="shared" si="46"/>
        <v>0</v>
      </c>
      <c r="N170" s="94">
        <f t="shared" si="46"/>
        <v>0</v>
      </c>
      <c r="O170" s="94">
        <f t="shared" si="46"/>
        <v>0</v>
      </c>
      <c r="P170" s="94">
        <f t="shared" si="46"/>
        <v>0</v>
      </c>
      <c r="Q170" s="94">
        <f t="shared" si="46"/>
        <v>0</v>
      </c>
      <c r="R170" s="94">
        <f t="shared" si="46"/>
        <v>0</v>
      </c>
      <c r="S170" s="94">
        <f t="shared" si="46"/>
        <v>0</v>
      </c>
      <c r="T170" s="195"/>
      <c r="U170" s="195"/>
      <c r="V170" s="195"/>
      <c r="W170" s="195"/>
      <c r="X170" s="195"/>
      <c r="Y170" s="22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  <c r="BB170" s="195"/>
      <c r="BC170" s="195"/>
      <c r="BD170" s="195"/>
      <c r="BE170" s="195"/>
      <c r="BF170" s="195"/>
      <c r="BG170" s="195"/>
      <c r="BH170" s="195"/>
      <c r="BI170" s="195"/>
      <c r="BJ170" s="195"/>
      <c r="BK170" s="195"/>
      <c r="BL170" s="195"/>
      <c r="BM170" s="195"/>
      <c r="BN170" s="195"/>
      <c r="BO170" s="195"/>
      <c r="BP170" s="195"/>
      <c r="BQ170" s="195"/>
      <c r="BR170" s="195"/>
      <c r="BS170" s="195"/>
      <c r="BT170" s="195"/>
    </row>
    <row r="171" spans="1:174" ht="25.5" x14ac:dyDescent="0.2">
      <c r="C171" s="30" t="s">
        <v>277</v>
      </c>
      <c r="D171" s="103">
        <f>'Перечень инв.проектов ГС'!P21</f>
        <v>0</v>
      </c>
      <c r="E171" s="51">
        <v>30</v>
      </c>
      <c r="F171" s="83">
        <f>100/E171</f>
        <v>3.3333333333333335</v>
      </c>
      <c r="G171" s="94"/>
      <c r="H171" s="94"/>
      <c r="I171" s="94">
        <f t="shared" si="45"/>
        <v>0</v>
      </c>
      <c r="J171" s="94">
        <f t="shared" si="45"/>
        <v>0</v>
      </c>
      <c r="K171" s="94">
        <f t="shared" si="46"/>
        <v>0</v>
      </c>
      <c r="L171" s="94">
        <f t="shared" si="46"/>
        <v>0</v>
      </c>
      <c r="M171" s="94">
        <f t="shared" si="46"/>
        <v>0</v>
      </c>
      <c r="N171" s="94">
        <f t="shared" si="46"/>
        <v>0</v>
      </c>
      <c r="O171" s="94">
        <f t="shared" si="46"/>
        <v>0</v>
      </c>
      <c r="P171" s="94">
        <f t="shared" si="46"/>
        <v>0</v>
      </c>
      <c r="Q171" s="94">
        <f t="shared" si="46"/>
        <v>0</v>
      </c>
      <c r="R171" s="94">
        <f t="shared" si="46"/>
        <v>0</v>
      </c>
      <c r="S171" s="94">
        <f t="shared" si="46"/>
        <v>0</v>
      </c>
      <c r="T171" s="195"/>
      <c r="U171" s="195"/>
      <c r="V171" s="195"/>
      <c r="W171" s="195"/>
      <c r="X171" s="195"/>
      <c r="Y171" s="22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  <c r="BB171" s="195"/>
      <c r="BC171" s="195"/>
      <c r="BD171" s="195"/>
      <c r="BE171" s="195"/>
      <c r="BF171" s="195"/>
      <c r="BG171" s="195"/>
      <c r="BH171" s="195"/>
      <c r="BI171" s="195"/>
      <c r="BJ171" s="195"/>
      <c r="BK171" s="195"/>
      <c r="BL171" s="195"/>
      <c r="BM171" s="195"/>
      <c r="BN171" s="195"/>
      <c r="BO171" s="195"/>
      <c r="BP171" s="195"/>
      <c r="BQ171" s="195"/>
      <c r="BR171" s="195"/>
      <c r="BS171" s="195"/>
      <c r="BT171" s="195"/>
    </row>
    <row r="172" spans="1:174" ht="25.5" x14ac:dyDescent="0.2">
      <c r="C172" s="30" t="s">
        <v>391</v>
      </c>
      <c r="D172" s="103">
        <f>'Перечень инв.проектов ГС'!Q21</f>
        <v>0</v>
      </c>
      <c r="E172" s="51">
        <v>30</v>
      </c>
      <c r="F172" s="83">
        <f>100/E172</f>
        <v>3.3333333333333335</v>
      </c>
      <c r="G172" s="94"/>
      <c r="H172" s="94"/>
      <c r="I172" s="94"/>
      <c r="J172" s="94">
        <f>$D172*$F172/100</f>
        <v>0</v>
      </c>
      <c r="K172" s="94">
        <f t="shared" si="46"/>
        <v>0</v>
      </c>
      <c r="L172" s="94">
        <f t="shared" si="46"/>
        <v>0</v>
      </c>
      <c r="M172" s="94">
        <f t="shared" si="46"/>
        <v>0</v>
      </c>
      <c r="N172" s="94">
        <f t="shared" si="46"/>
        <v>0</v>
      </c>
      <c r="O172" s="94">
        <f t="shared" si="46"/>
        <v>0</v>
      </c>
      <c r="P172" s="94">
        <f t="shared" si="46"/>
        <v>0</v>
      </c>
      <c r="Q172" s="94">
        <f t="shared" si="46"/>
        <v>0</v>
      </c>
      <c r="R172" s="94">
        <f t="shared" si="46"/>
        <v>0</v>
      </c>
      <c r="S172" s="94">
        <f t="shared" si="46"/>
        <v>0</v>
      </c>
      <c r="T172" s="195"/>
      <c r="U172" s="195"/>
      <c r="V172" s="195"/>
      <c r="W172" s="195"/>
      <c r="X172" s="195"/>
      <c r="Y172" s="22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  <c r="BB172" s="195"/>
      <c r="BC172" s="195"/>
      <c r="BD172" s="195"/>
      <c r="BE172" s="195"/>
      <c r="BF172" s="195"/>
      <c r="BG172" s="195"/>
      <c r="BH172" s="195"/>
      <c r="BI172" s="195"/>
      <c r="BJ172" s="195"/>
      <c r="BK172" s="195"/>
      <c r="BL172" s="195"/>
      <c r="BM172" s="195"/>
      <c r="BN172" s="195"/>
      <c r="BO172" s="195"/>
      <c r="BP172" s="195"/>
      <c r="BQ172" s="195"/>
      <c r="BR172" s="195"/>
      <c r="BS172" s="195"/>
      <c r="BT172" s="195"/>
    </row>
    <row r="173" spans="1:174" ht="25.5" x14ac:dyDescent="0.2">
      <c r="C173" s="30" t="s">
        <v>392</v>
      </c>
      <c r="D173" s="103">
        <f>'Перечень инв.проектов ГС'!R22</f>
        <v>0</v>
      </c>
      <c r="E173" s="51">
        <v>30</v>
      </c>
      <c r="F173" s="83">
        <f t="shared" ref="F173:F186" si="47">100/E173</f>
        <v>3.3333333333333335</v>
      </c>
      <c r="G173" s="94"/>
      <c r="H173" s="94"/>
      <c r="I173" s="94"/>
      <c r="J173" s="94"/>
      <c r="K173" s="94">
        <f t="shared" si="45"/>
        <v>0</v>
      </c>
      <c r="L173" s="94">
        <f t="shared" si="46"/>
        <v>0</v>
      </c>
      <c r="M173" s="94">
        <f t="shared" si="46"/>
        <v>0</v>
      </c>
      <c r="N173" s="94">
        <f t="shared" si="46"/>
        <v>0</v>
      </c>
      <c r="O173" s="94">
        <f t="shared" si="46"/>
        <v>0</v>
      </c>
      <c r="P173" s="94">
        <f t="shared" si="46"/>
        <v>0</v>
      </c>
      <c r="Q173" s="94">
        <f t="shared" si="46"/>
        <v>0</v>
      </c>
      <c r="R173" s="94">
        <f t="shared" si="46"/>
        <v>0</v>
      </c>
      <c r="S173" s="94">
        <f t="shared" si="46"/>
        <v>0</v>
      </c>
      <c r="T173" s="195"/>
      <c r="U173" s="195"/>
      <c r="V173" s="195"/>
      <c r="W173" s="195"/>
      <c r="X173" s="195"/>
      <c r="Y173" s="22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  <c r="BB173" s="195"/>
      <c r="BC173" s="195"/>
      <c r="BD173" s="195"/>
      <c r="BE173" s="195"/>
      <c r="BF173" s="195"/>
      <c r="BG173" s="195"/>
      <c r="BH173" s="195"/>
      <c r="BI173" s="195"/>
      <c r="BJ173" s="195"/>
      <c r="BK173" s="195"/>
      <c r="BL173" s="195"/>
      <c r="BM173" s="195"/>
      <c r="BN173" s="195"/>
      <c r="BO173" s="195"/>
      <c r="BP173" s="195"/>
      <c r="BQ173" s="195"/>
      <c r="BR173" s="195"/>
      <c r="BS173" s="195"/>
      <c r="BT173" s="195"/>
    </row>
    <row r="174" spans="1:174" ht="25.5" x14ac:dyDescent="0.2">
      <c r="C174" s="30" t="s">
        <v>393</v>
      </c>
      <c r="D174" s="103">
        <f>'Перечень инв.проектов ГС'!S23</f>
        <v>0</v>
      </c>
      <c r="E174" s="51">
        <v>30</v>
      </c>
      <c r="F174" s="83">
        <f t="shared" si="47"/>
        <v>3.3333333333333335</v>
      </c>
      <c r="G174" s="94"/>
      <c r="H174" s="94"/>
      <c r="I174" s="94"/>
      <c r="J174" s="94"/>
      <c r="K174" s="94"/>
      <c r="L174" s="94">
        <f t="shared" si="46"/>
        <v>0</v>
      </c>
      <c r="M174" s="94">
        <f t="shared" si="46"/>
        <v>0</v>
      </c>
      <c r="N174" s="94">
        <f t="shared" si="46"/>
        <v>0</v>
      </c>
      <c r="O174" s="94">
        <f t="shared" si="46"/>
        <v>0</v>
      </c>
      <c r="P174" s="94">
        <f t="shared" si="46"/>
        <v>0</v>
      </c>
      <c r="Q174" s="94">
        <f t="shared" si="46"/>
        <v>0</v>
      </c>
      <c r="R174" s="94">
        <f t="shared" si="46"/>
        <v>0</v>
      </c>
      <c r="S174" s="94">
        <f t="shared" si="46"/>
        <v>0</v>
      </c>
      <c r="T174" s="195"/>
      <c r="U174" s="195"/>
      <c r="V174" s="195"/>
      <c r="W174" s="195"/>
      <c r="X174" s="195"/>
      <c r="Y174" s="22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  <c r="BB174" s="195"/>
      <c r="BC174" s="195"/>
      <c r="BD174" s="195"/>
      <c r="BE174" s="195"/>
      <c r="BF174" s="195"/>
      <c r="BG174" s="195"/>
      <c r="BH174" s="195"/>
      <c r="BI174" s="195"/>
      <c r="BJ174" s="195"/>
      <c r="BK174" s="195"/>
      <c r="BL174" s="195"/>
      <c r="BM174" s="195"/>
      <c r="BN174" s="195"/>
      <c r="BO174" s="195"/>
      <c r="BP174" s="195"/>
      <c r="BQ174" s="195"/>
      <c r="BR174" s="195"/>
      <c r="BS174" s="195"/>
      <c r="BT174" s="195"/>
    </row>
    <row r="175" spans="1:174" ht="25.5" x14ac:dyDescent="0.2">
      <c r="C175" s="30" t="s">
        <v>394</v>
      </c>
      <c r="D175" s="103">
        <f>'Перечень инв.проектов ГС'!T24</f>
        <v>0</v>
      </c>
      <c r="E175" s="51">
        <v>30</v>
      </c>
      <c r="F175" s="83">
        <f t="shared" si="47"/>
        <v>3.3333333333333335</v>
      </c>
      <c r="G175" s="94"/>
      <c r="H175" s="94"/>
      <c r="I175" s="94"/>
      <c r="J175" s="94"/>
      <c r="K175" s="94"/>
      <c r="L175" s="94"/>
      <c r="M175" s="94">
        <f t="shared" si="46"/>
        <v>0</v>
      </c>
      <c r="N175" s="94">
        <f t="shared" si="46"/>
        <v>0</v>
      </c>
      <c r="O175" s="94">
        <f t="shared" si="46"/>
        <v>0</v>
      </c>
      <c r="P175" s="94">
        <f t="shared" si="46"/>
        <v>0</v>
      </c>
      <c r="Q175" s="94">
        <f t="shared" si="46"/>
        <v>0</v>
      </c>
      <c r="R175" s="94">
        <f t="shared" si="46"/>
        <v>0</v>
      </c>
      <c r="S175" s="94">
        <f t="shared" si="46"/>
        <v>0</v>
      </c>
      <c r="T175" s="195"/>
      <c r="U175" s="195"/>
      <c r="V175" s="195"/>
      <c r="W175" s="195"/>
      <c r="X175" s="195"/>
      <c r="Y175" s="22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  <c r="BB175" s="195"/>
      <c r="BC175" s="195"/>
      <c r="BD175" s="195"/>
      <c r="BE175" s="195"/>
      <c r="BF175" s="195"/>
      <c r="BG175" s="195"/>
      <c r="BH175" s="195"/>
      <c r="BI175" s="195"/>
      <c r="BJ175" s="195"/>
      <c r="BK175" s="195"/>
      <c r="BL175" s="195"/>
      <c r="BM175" s="195"/>
      <c r="BN175" s="195"/>
      <c r="BO175" s="195"/>
      <c r="BP175" s="195"/>
      <c r="BQ175" s="195"/>
      <c r="BR175" s="195"/>
      <c r="BS175" s="195"/>
      <c r="BT175" s="195"/>
    </row>
    <row r="176" spans="1:174" ht="25.5" x14ac:dyDescent="0.2">
      <c r="C176" s="30" t="s">
        <v>395</v>
      </c>
      <c r="D176" s="103">
        <f>'Перечень инв.проектов ГС'!U25</f>
        <v>0</v>
      </c>
      <c r="E176" s="51">
        <v>30</v>
      </c>
      <c r="F176" s="83">
        <f t="shared" si="47"/>
        <v>3.3333333333333335</v>
      </c>
      <c r="G176" s="94"/>
      <c r="H176" s="94"/>
      <c r="I176" s="94"/>
      <c r="J176" s="94"/>
      <c r="K176" s="94"/>
      <c r="L176" s="94"/>
      <c r="M176" s="94"/>
      <c r="N176" s="94">
        <f t="shared" si="46"/>
        <v>0</v>
      </c>
      <c r="O176" s="94">
        <f t="shared" si="46"/>
        <v>0</v>
      </c>
      <c r="P176" s="94">
        <f t="shared" si="46"/>
        <v>0</v>
      </c>
      <c r="Q176" s="94">
        <f t="shared" si="46"/>
        <v>0</v>
      </c>
      <c r="R176" s="94">
        <f t="shared" si="46"/>
        <v>0</v>
      </c>
      <c r="S176" s="94">
        <f t="shared" si="46"/>
        <v>0</v>
      </c>
      <c r="T176" s="195"/>
      <c r="U176" s="195"/>
      <c r="V176" s="195"/>
      <c r="W176" s="195"/>
      <c r="X176" s="195"/>
      <c r="Y176" s="22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  <c r="BB176" s="195"/>
      <c r="BC176" s="195"/>
      <c r="BD176" s="195"/>
      <c r="BE176" s="195"/>
      <c r="BF176" s="195"/>
      <c r="BG176" s="195"/>
      <c r="BH176" s="195"/>
      <c r="BI176" s="195"/>
      <c r="BJ176" s="195"/>
      <c r="BK176" s="195"/>
      <c r="BL176" s="195"/>
      <c r="BM176" s="195"/>
      <c r="BN176" s="195"/>
      <c r="BO176" s="195"/>
      <c r="BP176" s="195"/>
      <c r="BQ176" s="195"/>
      <c r="BR176" s="195"/>
      <c r="BS176" s="195"/>
      <c r="BT176" s="195"/>
    </row>
    <row r="177" spans="1:73" ht="25.5" x14ac:dyDescent="0.2">
      <c r="C177" s="30" t="s">
        <v>396</v>
      </c>
      <c r="D177" s="103">
        <f>'Перечень инв.проектов ГС'!V26</f>
        <v>0</v>
      </c>
      <c r="E177" s="51">
        <v>30</v>
      </c>
      <c r="F177" s="83">
        <f t="shared" si="47"/>
        <v>3.3333333333333335</v>
      </c>
      <c r="G177" s="94"/>
      <c r="H177" s="94"/>
      <c r="I177" s="94"/>
      <c r="J177" s="94"/>
      <c r="K177" s="94"/>
      <c r="L177" s="94"/>
      <c r="M177" s="94"/>
      <c r="N177" s="94"/>
      <c r="O177" s="94">
        <f t="shared" si="46"/>
        <v>0</v>
      </c>
      <c r="P177" s="94">
        <f t="shared" si="46"/>
        <v>0</v>
      </c>
      <c r="Q177" s="94">
        <f t="shared" si="46"/>
        <v>0</v>
      </c>
      <c r="R177" s="94">
        <f t="shared" si="46"/>
        <v>0</v>
      </c>
      <c r="S177" s="94">
        <f t="shared" si="46"/>
        <v>0</v>
      </c>
      <c r="T177" s="195"/>
      <c r="U177" s="195"/>
      <c r="V177" s="195"/>
      <c r="W177" s="195"/>
      <c r="X177" s="195"/>
      <c r="Y177" s="22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  <c r="BB177" s="195"/>
      <c r="BC177" s="195"/>
      <c r="BD177" s="195"/>
      <c r="BE177" s="195"/>
      <c r="BF177" s="195"/>
      <c r="BG177" s="195"/>
      <c r="BH177" s="195"/>
      <c r="BI177" s="195"/>
      <c r="BJ177" s="195"/>
      <c r="BK177" s="195"/>
      <c r="BL177" s="195"/>
      <c r="BM177" s="195"/>
      <c r="BN177" s="195"/>
      <c r="BO177" s="195"/>
      <c r="BP177" s="195"/>
      <c r="BQ177" s="195"/>
      <c r="BR177" s="195"/>
      <c r="BS177" s="195"/>
      <c r="BT177" s="195"/>
    </row>
    <row r="178" spans="1:73" ht="25.5" x14ac:dyDescent="0.2">
      <c r="C178" s="30" t="s">
        <v>397</v>
      </c>
      <c r="D178" s="103">
        <f>'Перечень инв.проектов ГС'!W27</f>
        <v>0</v>
      </c>
      <c r="E178" s="51">
        <v>30</v>
      </c>
      <c r="F178" s="83">
        <f t="shared" si="47"/>
        <v>3.3333333333333335</v>
      </c>
      <c r="G178" s="94"/>
      <c r="H178" s="94"/>
      <c r="I178" s="94"/>
      <c r="J178" s="94"/>
      <c r="K178" s="94"/>
      <c r="L178" s="94"/>
      <c r="M178" s="94"/>
      <c r="N178" s="94"/>
      <c r="O178" s="94"/>
      <c r="P178" s="94">
        <f t="shared" si="46"/>
        <v>0</v>
      </c>
      <c r="Q178" s="94">
        <f t="shared" si="46"/>
        <v>0</v>
      </c>
      <c r="R178" s="94">
        <f t="shared" si="46"/>
        <v>0</v>
      </c>
      <c r="S178" s="94">
        <f t="shared" si="46"/>
        <v>0</v>
      </c>
      <c r="T178" s="195"/>
      <c r="U178" s="195"/>
      <c r="V178" s="195"/>
      <c r="W178" s="195"/>
      <c r="X178" s="195"/>
      <c r="Y178" s="22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  <c r="BB178" s="195"/>
      <c r="BC178" s="195"/>
      <c r="BD178" s="195"/>
      <c r="BE178" s="195"/>
      <c r="BF178" s="195"/>
      <c r="BG178" s="195"/>
      <c r="BH178" s="195"/>
      <c r="BI178" s="195"/>
      <c r="BJ178" s="195"/>
      <c r="BK178" s="195"/>
      <c r="BL178" s="195"/>
      <c r="BM178" s="195"/>
      <c r="BN178" s="195"/>
      <c r="BO178" s="195"/>
      <c r="BP178" s="195"/>
      <c r="BQ178" s="195"/>
      <c r="BR178" s="195"/>
      <c r="BS178" s="195"/>
      <c r="BT178" s="195"/>
    </row>
    <row r="179" spans="1:73" ht="25.5" x14ac:dyDescent="0.2">
      <c r="C179" s="30" t="s">
        <v>398</v>
      </c>
      <c r="D179" s="103">
        <f>'Перечень инв.проектов ГС'!X28</f>
        <v>0</v>
      </c>
      <c r="E179" s="51">
        <v>30</v>
      </c>
      <c r="F179" s="83">
        <f t="shared" si="47"/>
        <v>3.3333333333333335</v>
      </c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>
        <f t="shared" si="46"/>
        <v>0</v>
      </c>
      <c r="R179" s="94">
        <f t="shared" si="46"/>
        <v>0</v>
      </c>
      <c r="S179" s="94">
        <f t="shared" si="46"/>
        <v>0</v>
      </c>
      <c r="T179" s="195"/>
      <c r="U179" s="195"/>
      <c r="V179" s="195"/>
      <c r="W179" s="195"/>
      <c r="X179" s="195"/>
      <c r="Y179" s="22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  <c r="BB179" s="195"/>
      <c r="BC179" s="195"/>
      <c r="BD179" s="195"/>
      <c r="BE179" s="195"/>
      <c r="BF179" s="195"/>
      <c r="BG179" s="195"/>
      <c r="BH179" s="195"/>
      <c r="BI179" s="195"/>
      <c r="BJ179" s="195"/>
      <c r="BK179" s="195"/>
      <c r="BL179" s="195"/>
      <c r="BM179" s="195"/>
      <c r="BN179" s="195"/>
      <c r="BO179" s="195"/>
      <c r="BP179" s="195"/>
      <c r="BQ179" s="195"/>
      <c r="BR179" s="195"/>
      <c r="BS179" s="195"/>
      <c r="BT179" s="195"/>
    </row>
    <row r="180" spans="1:73" ht="25.5" x14ac:dyDescent="0.2">
      <c r="C180" s="30" t="s">
        <v>399</v>
      </c>
      <c r="D180" s="103">
        <f>'Перечень инв.проектов ГС'!Y29</f>
        <v>0</v>
      </c>
      <c r="E180" s="51">
        <v>30</v>
      </c>
      <c r="F180" s="83">
        <f t="shared" si="47"/>
        <v>3.3333333333333335</v>
      </c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>
        <f t="shared" si="46"/>
        <v>0</v>
      </c>
      <c r="S180" s="94">
        <f t="shared" si="46"/>
        <v>0</v>
      </c>
      <c r="T180" s="195"/>
      <c r="U180" s="195"/>
      <c r="V180" s="195"/>
      <c r="W180" s="195"/>
      <c r="X180" s="195"/>
      <c r="Y180" s="22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  <c r="BB180" s="195"/>
      <c r="BC180" s="195"/>
      <c r="BD180" s="195"/>
      <c r="BE180" s="195"/>
      <c r="BF180" s="195"/>
      <c r="BG180" s="195"/>
      <c r="BH180" s="195"/>
      <c r="BI180" s="195"/>
      <c r="BJ180" s="195"/>
      <c r="BK180" s="195"/>
      <c r="BL180" s="195"/>
      <c r="BM180" s="195"/>
      <c r="BN180" s="195"/>
      <c r="BO180" s="195"/>
      <c r="BP180" s="195"/>
      <c r="BQ180" s="195"/>
      <c r="BR180" s="195"/>
      <c r="BS180" s="195"/>
      <c r="BT180" s="195"/>
    </row>
    <row r="181" spans="1:73" ht="25.5" x14ac:dyDescent="0.2">
      <c r="C181" s="30" t="s">
        <v>400</v>
      </c>
      <c r="D181" s="103">
        <f>'Перечень инв.проектов ГС'!Z30</f>
        <v>0</v>
      </c>
      <c r="E181" s="51">
        <v>30</v>
      </c>
      <c r="F181" s="83">
        <f t="shared" si="47"/>
        <v>3.3333333333333335</v>
      </c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>
        <f t="shared" si="46"/>
        <v>0</v>
      </c>
      <c r="T181" s="195"/>
      <c r="U181" s="195"/>
      <c r="V181" s="195"/>
      <c r="W181" s="195"/>
      <c r="X181" s="195"/>
      <c r="Y181" s="22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  <c r="BB181" s="195"/>
      <c r="BC181" s="195"/>
      <c r="BD181" s="195"/>
      <c r="BE181" s="195"/>
      <c r="BF181" s="195"/>
      <c r="BG181" s="195"/>
      <c r="BH181" s="195"/>
      <c r="BI181" s="195"/>
      <c r="BJ181" s="195"/>
      <c r="BK181" s="195"/>
      <c r="BL181" s="195"/>
      <c r="BM181" s="195"/>
      <c r="BN181" s="195"/>
      <c r="BO181" s="195"/>
      <c r="BP181" s="195"/>
      <c r="BQ181" s="195"/>
      <c r="BR181" s="195"/>
      <c r="BS181" s="195"/>
      <c r="BT181" s="195"/>
    </row>
    <row r="182" spans="1:73" ht="25.5" x14ac:dyDescent="0.2">
      <c r="C182" s="30" t="s">
        <v>401</v>
      </c>
      <c r="D182" s="103">
        <f>'Перечень инв.проектов ГС'!AA31</f>
        <v>0</v>
      </c>
      <c r="E182" s="51">
        <v>30</v>
      </c>
      <c r="F182" s="83">
        <f t="shared" si="47"/>
        <v>3.3333333333333335</v>
      </c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195"/>
      <c r="U182" s="195"/>
      <c r="V182" s="195"/>
      <c r="W182" s="195"/>
      <c r="X182" s="195"/>
      <c r="Y182" s="22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  <c r="BB182" s="195"/>
      <c r="BC182" s="195"/>
      <c r="BD182" s="195"/>
      <c r="BE182" s="195"/>
      <c r="BF182" s="195"/>
      <c r="BG182" s="195"/>
      <c r="BH182" s="195"/>
      <c r="BI182" s="195"/>
      <c r="BJ182" s="195"/>
      <c r="BK182" s="195"/>
      <c r="BL182" s="195"/>
      <c r="BM182" s="195"/>
      <c r="BN182" s="195"/>
      <c r="BO182" s="195"/>
      <c r="BP182" s="195"/>
      <c r="BQ182" s="195"/>
      <c r="BR182" s="195"/>
      <c r="BS182" s="195"/>
      <c r="BT182" s="195"/>
    </row>
    <row r="183" spans="1:73" ht="25.5" x14ac:dyDescent="0.2">
      <c r="C183" s="30" t="s">
        <v>402</v>
      </c>
      <c r="D183" s="103">
        <f>'Перечень инв.проектов ГС'!AB32</f>
        <v>0</v>
      </c>
      <c r="E183" s="51">
        <v>30</v>
      </c>
      <c r="F183" s="83">
        <f t="shared" si="47"/>
        <v>3.3333333333333335</v>
      </c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195"/>
      <c r="U183" s="195"/>
      <c r="V183" s="195"/>
      <c r="W183" s="195"/>
      <c r="X183" s="195"/>
      <c r="Y183" s="22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  <c r="BB183" s="195"/>
      <c r="BC183" s="195"/>
      <c r="BD183" s="195"/>
      <c r="BE183" s="195"/>
      <c r="BF183" s="195"/>
      <c r="BG183" s="195"/>
      <c r="BH183" s="195"/>
      <c r="BI183" s="195"/>
      <c r="BJ183" s="195"/>
      <c r="BK183" s="195"/>
      <c r="BL183" s="195"/>
      <c r="BM183" s="195"/>
      <c r="BN183" s="195"/>
      <c r="BO183" s="195"/>
      <c r="BP183" s="195"/>
      <c r="BQ183" s="195"/>
      <c r="BR183" s="195"/>
      <c r="BS183" s="195"/>
      <c r="BT183" s="195"/>
    </row>
    <row r="184" spans="1:73" ht="25.5" x14ac:dyDescent="0.2">
      <c r="C184" s="30" t="s">
        <v>403</v>
      </c>
      <c r="D184" s="103">
        <f>'Перечень инв.проектов ГС'!AC33</f>
        <v>0</v>
      </c>
      <c r="E184" s="51">
        <v>30</v>
      </c>
      <c r="F184" s="83">
        <f t="shared" si="47"/>
        <v>3.3333333333333335</v>
      </c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195"/>
      <c r="U184" s="195"/>
      <c r="V184" s="195"/>
      <c r="W184" s="195"/>
      <c r="X184" s="195"/>
      <c r="Y184" s="22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  <c r="BB184" s="195"/>
      <c r="BC184" s="195"/>
      <c r="BD184" s="195"/>
      <c r="BE184" s="195"/>
      <c r="BF184" s="195"/>
      <c r="BG184" s="195"/>
      <c r="BH184" s="195"/>
      <c r="BI184" s="195"/>
      <c r="BJ184" s="195"/>
      <c r="BK184" s="195"/>
      <c r="BL184" s="195"/>
      <c r="BM184" s="195"/>
      <c r="BN184" s="195"/>
      <c r="BO184" s="195"/>
      <c r="BP184" s="195"/>
      <c r="BQ184" s="195"/>
      <c r="BR184" s="195"/>
      <c r="BS184" s="195"/>
      <c r="BT184" s="195"/>
    </row>
    <row r="185" spans="1:73" ht="25.5" x14ac:dyDescent="0.2">
      <c r="C185" s="30" t="s">
        <v>404</v>
      </c>
      <c r="D185" s="103">
        <f>'Перечень инв.проектов ГС'!AD34</f>
        <v>0</v>
      </c>
      <c r="E185" s="51">
        <v>30</v>
      </c>
      <c r="F185" s="83">
        <f t="shared" si="47"/>
        <v>3.3333333333333335</v>
      </c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195"/>
      <c r="U185" s="195"/>
      <c r="V185" s="195"/>
      <c r="W185" s="195"/>
      <c r="X185" s="195"/>
      <c r="Y185" s="22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  <c r="BB185" s="195"/>
      <c r="BC185" s="195"/>
      <c r="BD185" s="195"/>
      <c r="BE185" s="195"/>
      <c r="BF185" s="195"/>
      <c r="BG185" s="195"/>
      <c r="BH185" s="195"/>
      <c r="BI185" s="195"/>
      <c r="BJ185" s="195"/>
      <c r="BK185" s="195"/>
      <c r="BL185" s="195"/>
      <c r="BM185" s="195"/>
      <c r="BN185" s="195"/>
      <c r="BO185" s="195"/>
      <c r="BP185" s="195"/>
      <c r="BQ185" s="195"/>
      <c r="BR185" s="195"/>
      <c r="BS185" s="195"/>
      <c r="BT185" s="195"/>
    </row>
    <row r="186" spans="1:73" ht="25.5" x14ac:dyDescent="0.2">
      <c r="C186" s="30" t="s">
        <v>405</v>
      </c>
      <c r="D186" s="103">
        <f>'Перечень инв.проектов ГС'!AE35</f>
        <v>0</v>
      </c>
      <c r="E186" s="51">
        <v>30</v>
      </c>
      <c r="F186" s="83">
        <f t="shared" si="47"/>
        <v>3.3333333333333335</v>
      </c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195"/>
      <c r="U186" s="195"/>
      <c r="V186" s="195"/>
      <c r="W186" s="195"/>
      <c r="X186" s="195"/>
      <c r="Y186" s="22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  <c r="BB186" s="195"/>
      <c r="BC186" s="195"/>
      <c r="BD186" s="195"/>
      <c r="BE186" s="195"/>
      <c r="BF186" s="195"/>
      <c r="BG186" s="195"/>
      <c r="BH186" s="195"/>
      <c r="BI186" s="195"/>
      <c r="BJ186" s="195"/>
      <c r="BK186" s="195"/>
      <c r="BL186" s="195"/>
      <c r="BM186" s="195"/>
      <c r="BN186" s="195"/>
      <c r="BO186" s="195"/>
      <c r="BP186" s="195"/>
      <c r="BQ186" s="195"/>
      <c r="BR186" s="195"/>
      <c r="BS186" s="195"/>
      <c r="BT186" s="195"/>
    </row>
    <row r="187" spans="1:73" s="98" customFormat="1" ht="12.75" customHeight="1" x14ac:dyDescent="0.2">
      <c r="C187" s="418" t="s">
        <v>278</v>
      </c>
      <c r="D187" s="418"/>
      <c r="E187" s="418"/>
      <c r="F187" s="418"/>
      <c r="G187" s="99">
        <f t="shared" ref="G187:S187" si="48">SUM(G168:G186)</f>
        <v>0</v>
      </c>
      <c r="H187" s="99">
        <f t="shared" si="48"/>
        <v>0</v>
      </c>
      <c r="I187" s="99">
        <f t="shared" si="48"/>
        <v>0</v>
      </c>
      <c r="J187" s="99">
        <f t="shared" si="48"/>
        <v>0</v>
      </c>
      <c r="K187" s="99">
        <f t="shared" si="48"/>
        <v>0</v>
      </c>
      <c r="L187" s="99">
        <f t="shared" si="48"/>
        <v>0</v>
      </c>
      <c r="M187" s="99">
        <f t="shared" si="48"/>
        <v>0</v>
      </c>
      <c r="N187" s="99">
        <f t="shared" si="48"/>
        <v>0</v>
      </c>
      <c r="O187" s="99">
        <f t="shared" si="48"/>
        <v>0</v>
      </c>
      <c r="P187" s="99">
        <f t="shared" si="48"/>
        <v>0</v>
      </c>
      <c r="Q187" s="99">
        <f t="shared" si="48"/>
        <v>0</v>
      </c>
      <c r="R187" s="99">
        <f t="shared" si="48"/>
        <v>0</v>
      </c>
      <c r="S187" s="99">
        <f t="shared" si="48"/>
        <v>0</v>
      </c>
      <c r="T187" s="195"/>
      <c r="U187" s="195"/>
      <c r="V187" s="195"/>
      <c r="W187" s="195"/>
      <c r="X187" s="195"/>
      <c r="Z187" s="195"/>
      <c r="AA187" s="195"/>
      <c r="AB187" s="195"/>
      <c r="AC187" s="195"/>
      <c r="AD187" s="195">
        <f>SUM(AD168:AD186)</f>
        <v>0</v>
      </c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</row>
    <row r="188" spans="1:73" x14ac:dyDescent="0.2">
      <c r="U188" s="195"/>
      <c r="V188" s="195"/>
      <c r="W188" s="195"/>
      <c r="X188" s="195"/>
      <c r="Y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  <c r="BB188" s="195"/>
      <c r="BC188" s="195"/>
      <c r="BD188" s="195"/>
      <c r="BE188" s="195"/>
      <c r="BF188" s="195"/>
      <c r="BG188" s="195"/>
      <c r="BH188" s="195"/>
      <c r="BI188" s="195"/>
      <c r="BJ188" s="195"/>
      <c r="BK188" s="195"/>
      <c r="BL188" s="195"/>
      <c r="BM188" s="195"/>
      <c r="BN188" s="195"/>
      <c r="BO188" s="195"/>
      <c r="BP188" s="195"/>
      <c r="BQ188" s="195"/>
      <c r="BR188" s="195"/>
      <c r="BS188" s="195"/>
      <c r="BT188" s="195"/>
      <c r="BU188" s="195"/>
    </row>
    <row r="189" spans="1:73" x14ac:dyDescent="0.2"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  <c r="BB189" s="195"/>
      <c r="BC189" s="195"/>
      <c r="BD189" s="195"/>
      <c r="BE189" s="195"/>
      <c r="BF189" s="195"/>
      <c r="BG189" s="195"/>
      <c r="BH189" s="195"/>
      <c r="BI189" s="195"/>
      <c r="BJ189" s="195"/>
      <c r="BK189" s="195"/>
      <c r="BL189" s="195"/>
      <c r="BM189" s="195"/>
      <c r="BN189" s="195"/>
      <c r="BO189" s="195"/>
      <c r="BP189" s="195"/>
      <c r="BQ189" s="195"/>
      <c r="BR189" s="195"/>
      <c r="BS189" s="195"/>
      <c r="BT189" s="195"/>
      <c r="BU189" s="195"/>
    </row>
    <row r="190" spans="1:73" x14ac:dyDescent="0.2">
      <c r="A190" s="93">
        <f>SUM(D194:D197)-'Перечень инв.проектов ТКО'!Z5</f>
        <v>0</v>
      </c>
      <c r="C190" s="196" t="s">
        <v>1034</v>
      </c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  <c r="BB190" s="195"/>
      <c r="BC190" s="195"/>
      <c r="BD190" s="195"/>
      <c r="BE190" s="195"/>
      <c r="BF190" s="195"/>
      <c r="BG190" s="195"/>
      <c r="BH190" s="195"/>
      <c r="BI190" s="195"/>
      <c r="BJ190" s="195"/>
      <c r="BK190" s="195"/>
      <c r="BL190" s="195"/>
      <c r="BM190" s="195"/>
      <c r="BN190" s="195"/>
      <c r="BO190" s="195"/>
      <c r="BP190" s="195"/>
      <c r="BQ190" s="195"/>
      <c r="BR190" s="195"/>
      <c r="BS190" s="195"/>
      <c r="BT190" s="195"/>
      <c r="BU190" s="195"/>
    </row>
    <row r="191" spans="1:73" ht="13.15" customHeight="1" x14ac:dyDescent="0.2">
      <c r="A191" s="26" t="s">
        <v>290</v>
      </c>
      <c r="C191" s="411" t="s">
        <v>267</v>
      </c>
      <c r="D191" s="411" t="s">
        <v>281</v>
      </c>
      <c r="E191" s="411" t="s">
        <v>269</v>
      </c>
      <c r="F191" s="411" t="s">
        <v>270</v>
      </c>
      <c r="G191" s="415" t="s">
        <v>271</v>
      </c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7"/>
      <c r="T191" s="22"/>
      <c r="U191" s="22"/>
      <c r="V191" s="22"/>
      <c r="W191" s="22"/>
      <c r="X191" s="22"/>
      <c r="Y191" s="22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195"/>
      <c r="BD191" s="195"/>
      <c r="BE191" s="195"/>
      <c r="BF191" s="195"/>
      <c r="BG191" s="195"/>
      <c r="BH191" s="195"/>
      <c r="BI191" s="195"/>
      <c r="BJ191" s="195"/>
      <c r="BK191" s="195"/>
      <c r="BL191" s="195"/>
      <c r="BM191" s="195"/>
      <c r="BN191" s="195"/>
      <c r="BO191" s="195"/>
      <c r="BP191" s="195"/>
      <c r="BQ191" s="195"/>
      <c r="BR191" s="195"/>
      <c r="BS191" s="195"/>
      <c r="BT191" s="195"/>
      <c r="BU191" s="195"/>
    </row>
    <row r="192" spans="1:73" x14ac:dyDescent="0.2">
      <c r="C192" s="411"/>
      <c r="D192" s="411"/>
      <c r="E192" s="411"/>
      <c r="F192" s="411"/>
      <c r="G192" s="5">
        <v>2023</v>
      </c>
      <c r="H192" s="5">
        <v>2024</v>
      </c>
      <c r="I192" s="5">
        <v>2025</v>
      </c>
      <c r="J192" s="5">
        <v>2026</v>
      </c>
      <c r="K192" s="5">
        <v>2027</v>
      </c>
      <c r="L192" s="5">
        <v>2028</v>
      </c>
      <c r="M192" s="5">
        <v>2029</v>
      </c>
      <c r="N192" s="5">
        <v>2030</v>
      </c>
      <c r="O192" s="5">
        <v>2031</v>
      </c>
      <c r="P192" s="5">
        <v>2032</v>
      </c>
      <c r="Q192" s="5">
        <v>2033</v>
      </c>
      <c r="R192" s="5">
        <v>2034</v>
      </c>
      <c r="S192" s="5">
        <v>2035</v>
      </c>
      <c r="T192" s="22"/>
      <c r="U192" s="22"/>
      <c r="V192" s="22"/>
      <c r="W192" s="22"/>
      <c r="X192" s="22"/>
      <c r="Y192" s="22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  <c r="BA192" s="195"/>
      <c r="BB192" s="195"/>
      <c r="BC192" s="195"/>
      <c r="BD192" s="195"/>
      <c r="BE192" s="195"/>
      <c r="BF192" s="195"/>
      <c r="BG192" s="195"/>
      <c r="BH192" s="195"/>
      <c r="BI192" s="195"/>
      <c r="BJ192" s="195"/>
      <c r="BK192" s="195"/>
      <c r="BL192" s="195"/>
      <c r="BM192" s="195"/>
      <c r="BN192" s="195"/>
      <c r="BO192" s="195"/>
      <c r="BP192" s="195"/>
      <c r="BQ192" s="195"/>
      <c r="BR192" s="195"/>
      <c r="BS192" s="195"/>
      <c r="BT192" s="195"/>
      <c r="BU192" s="195"/>
    </row>
    <row r="193" spans="3:73" ht="13.15" customHeight="1" x14ac:dyDescent="0.2">
      <c r="C193" s="408" t="s">
        <v>291</v>
      </c>
      <c r="D193" s="409"/>
      <c r="E193" s="409"/>
      <c r="F193" s="409"/>
      <c r="G193" s="409"/>
      <c r="H193" s="409"/>
      <c r="I193" s="409"/>
      <c r="J193" s="409"/>
      <c r="K193" s="409"/>
      <c r="L193" s="409"/>
      <c r="M193" s="409"/>
      <c r="N193" s="409"/>
      <c r="O193" s="409"/>
      <c r="P193" s="409"/>
      <c r="Q193" s="409"/>
      <c r="R193" s="409"/>
      <c r="S193" s="409"/>
      <c r="T193" s="22"/>
      <c r="U193" s="22"/>
      <c r="V193" s="22"/>
      <c r="W193" s="22"/>
      <c r="X193" s="22"/>
      <c r="Y193" s="22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  <c r="BB193" s="195"/>
      <c r="BC193" s="195"/>
      <c r="BD193" s="195"/>
      <c r="BE193" s="195"/>
      <c r="BF193" s="195"/>
      <c r="BG193" s="195"/>
      <c r="BH193" s="195"/>
      <c r="BI193" s="195"/>
      <c r="BJ193" s="195"/>
      <c r="BK193" s="195"/>
      <c r="BL193" s="195"/>
      <c r="BM193" s="195"/>
      <c r="BN193" s="195"/>
      <c r="BO193" s="195"/>
      <c r="BP193" s="195"/>
      <c r="BQ193" s="195"/>
      <c r="BR193" s="195"/>
      <c r="BS193" s="195"/>
      <c r="BT193" s="195"/>
      <c r="BU193" s="195"/>
    </row>
    <row r="194" spans="3:73" ht="25.5" x14ac:dyDescent="0.2">
      <c r="C194" s="30" t="s">
        <v>275</v>
      </c>
      <c r="D194" s="94">
        <f>'Перечень инв.проектов ТКО'!M5</f>
        <v>0</v>
      </c>
      <c r="E194" s="51">
        <v>25</v>
      </c>
      <c r="F194" s="82">
        <f>ROUND(100/E194,2)</f>
        <v>4</v>
      </c>
      <c r="G194" s="94">
        <f t="shared" ref="G194:J196" si="49">$D194*$F194/100</f>
        <v>0</v>
      </c>
      <c r="H194" s="94">
        <f t="shared" si="49"/>
        <v>0</v>
      </c>
      <c r="I194" s="94">
        <f t="shared" si="49"/>
        <v>0</v>
      </c>
      <c r="J194" s="94">
        <f t="shared" si="49"/>
        <v>0</v>
      </c>
      <c r="K194" s="94">
        <f t="shared" ref="K194:S206" si="50">$D194*$F194/100</f>
        <v>0</v>
      </c>
      <c r="L194" s="94">
        <f t="shared" si="50"/>
        <v>0</v>
      </c>
      <c r="M194" s="94">
        <f t="shared" si="50"/>
        <v>0</v>
      </c>
      <c r="N194" s="94">
        <f t="shared" si="50"/>
        <v>0</v>
      </c>
      <c r="O194" s="94">
        <f t="shared" si="50"/>
        <v>0</v>
      </c>
      <c r="P194" s="94">
        <f t="shared" si="50"/>
        <v>0</v>
      </c>
      <c r="Q194" s="94">
        <f t="shared" si="50"/>
        <v>0</v>
      </c>
      <c r="R194" s="94">
        <f t="shared" si="50"/>
        <v>0</v>
      </c>
      <c r="S194" s="94">
        <f t="shared" si="50"/>
        <v>0</v>
      </c>
      <c r="T194" s="22"/>
      <c r="U194" s="22"/>
      <c r="V194" s="22"/>
      <c r="W194" s="22"/>
      <c r="X194" s="22"/>
      <c r="Y194" s="22"/>
    </row>
    <row r="195" spans="3:73" ht="25.5" x14ac:dyDescent="0.2">
      <c r="C195" s="30" t="s">
        <v>276</v>
      </c>
      <c r="D195" s="94">
        <f>'Перечень инв.проектов ТКО'!N5</f>
        <v>72200</v>
      </c>
      <c r="E195" s="51">
        <v>25</v>
      </c>
      <c r="F195" s="82">
        <f>ROUND(100/E195,2)</f>
        <v>4</v>
      </c>
      <c r="G195" s="94"/>
      <c r="H195" s="94">
        <f t="shared" si="49"/>
        <v>2888</v>
      </c>
      <c r="I195" s="94">
        <f t="shared" si="49"/>
        <v>2888</v>
      </c>
      <c r="J195" s="94">
        <f t="shared" si="49"/>
        <v>2888</v>
      </c>
      <c r="K195" s="94">
        <f t="shared" si="50"/>
        <v>2888</v>
      </c>
      <c r="L195" s="94">
        <f t="shared" si="50"/>
        <v>2888</v>
      </c>
      <c r="M195" s="94">
        <f t="shared" si="50"/>
        <v>2888</v>
      </c>
      <c r="N195" s="94">
        <f t="shared" si="50"/>
        <v>2888</v>
      </c>
      <c r="O195" s="94">
        <f t="shared" si="50"/>
        <v>2888</v>
      </c>
      <c r="P195" s="94">
        <f t="shared" si="50"/>
        <v>2888</v>
      </c>
      <c r="Q195" s="94">
        <f t="shared" si="50"/>
        <v>2888</v>
      </c>
      <c r="R195" s="94">
        <f t="shared" si="50"/>
        <v>2888</v>
      </c>
      <c r="S195" s="94">
        <f t="shared" si="50"/>
        <v>2888</v>
      </c>
      <c r="T195" s="22"/>
      <c r="U195" s="22"/>
      <c r="V195" s="22"/>
      <c r="W195" s="22"/>
      <c r="X195" s="22"/>
      <c r="Y195" s="22"/>
    </row>
    <row r="196" spans="3:73" ht="25.5" x14ac:dyDescent="0.2">
      <c r="C196" s="30" t="s">
        <v>277</v>
      </c>
      <c r="D196" s="94">
        <f>'Перечень инв.проектов ТКО'!O5</f>
        <v>0</v>
      </c>
      <c r="E196" s="51">
        <v>25</v>
      </c>
      <c r="F196" s="82">
        <f>ROUND(100/E196,2)</f>
        <v>4</v>
      </c>
      <c r="G196" s="94"/>
      <c r="H196" s="94"/>
      <c r="I196" s="94">
        <f t="shared" si="49"/>
        <v>0</v>
      </c>
      <c r="J196" s="94">
        <f t="shared" si="49"/>
        <v>0</v>
      </c>
      <c r="K196" s="94">
        <f t="shared" si="50"/>
        <v>0</v>
      </c>
      <c r="L196" s="94">
        <f t="shared" si="50"/>
        <v>0</v>
      </c>
      <c r="M196" s="94">
        <f t="shared" si="50"/>
        <v>0</v>
      </c>
      <c r="N196" s="94">
        <f t="shared" si="50"/>
        <v>0</v>
      </c>
      <c r="O196" s="94">
        <f t="shared" si="50"/>
        <v>0</v>
      </c>
      <c r="P196" s="94">
        <f t="shared" si="50"/>
        <v>0</v>
      </c>
      <c r="Q196" s="94">
        <f t="shared" si="50"/>
        <v>0</v>
      </c>
      <c r="R196" s="94">
        <f t="shared" si="50"/>
        <v>0</v>
      </c>
      <c r="S196" s="94">
        <f t="shared" si="50"/>
        <v>0</v>
      </c>
      <c r="T196" s="22"/>
      <c r="U196" s="22"/>
      <c r="V196" s="22"/>
      <c r="W196" s="22"/>
      <c r="X196" s="22"/>
      <c r="Y196" s="22"/>
    </row>
    <row r="197" spans="3:73" ht="25.5" x14ac:dyDescent="0.2">
      <c r="C197" s="30" t="s">
        <v>391</v>
      </c>
      <c r="D197" s="94">
        <f>'Перечень инв.проектов ТКО'!P5</f>
        <v>0</v>
      </c>
      <c r="E197" s="51">
        <v>25</v>
      </c>
      <c r="F197" s="82">
        <f>ROUND(100/E197,2)</f>
        <v>4</v>
      </c>
      <c r="G197" s="94"/>
      <c r="H197" s="94"/>
      <c r="I197" s="94"/>
      <c r="J197" s="94">
        <f>$D197*$F197/100</f>
        <v>0</v>
      </c>
      <c r="K197" s="94">
        <f t="shared" si="50"/>
        <v>0</v>
      </c>
      <c r="L197" s="94">
        <f t="shared" si="50"/>
        <v>0</v>
      </c>
      <c r="M197" s="94">
        <f t="shared" si="50"/>
        <v>0</v>
      </c>
      <c r="N197" s="94">
        <f t="shared" si="50"/>
        <v>0</v>
      </c>
      <c r="O197" s="94">
        <f t="shared" si="50"/>
        <v>0</v>
      </c>
      <c r="P197" s="94">
        <f t="shared" si="50"/>
        <v>0</v>
      </c>
      <c r="Q197" s="94">
        <f t="shared" si="50"/>
        <v>0</v>
      </c>
      <c r="R197" s="94">
        <f t="shared" si="50"/>
        <v>0</v>
      </c>
      <c r="S197" s="94">
        <f t="shared" si="50"/>
        <v>0</v>
      </c>
      <c r="T197" s="22"/>
      <c r="U197" s="22"/>
      <c r="V197" s="22"/>
      <c r="W197" s="22"/>
      <c r="X197" s="22"/>
      <c r="Y197" s="22"/>
    </row>
    <row r="198" spans="3:73" ht="25.5" x14ac:dyDescent="0.2">
      <c r="C198" s="30" t="s">
        <v>392</v>
      </c>
      <c r="D198" s="94">
        <f>'Перечень инв.проектов ТКО'!Q6</f>
        <v>0</v>
      </c>
      <c r="E198" s="51">
        <v>25</v>
      </c>
      <c r="F198" s="82">
        <f t="shared" ref="F198:F206" si="51">ROUND(100/E198,2)</f>
        <v>4</v>
      </c>
      <c r="G198" s="94"/>
      <c r="H198" s="94"/>
      <c r="I198" s="94"/>
      <c r="J198" s="94"/>
      <c r="K198" s="94">
        <f t="shared" si="50"/>
        <v>0</v>
      </c>
      <c r="L198" s="94">
        <f t="shared" si="50"/>
        <v>0</v>
      </c>
      <c r="M198" s="94">
        <f t="shared" si="50"/>
        <v>0</v>
      </c>
      <c r="N198" s="94">
        <f t="shared" si="50"/>
        <v>0</v>
      </c>
      <c r="O198" s="94">
        <f t="shared" si="50"/>
        <v>0</v>
      </c>
      <c r="P198" s="94">
        <f t="shared" si="50"/>
        <v>0</v>
      </c>
      <c r="Q198" s="94">
        <f t="shared" si="50"/>
        <v>0</v>
      </c>
      <c r="R198" s="94">
        <f t="shared" si="50"/>
        <v>0</v>
      </c>
      <c r="S198" s="94">
        <f t="shared" si="50"/>
        <v>0</v>
      </c>
      <c r="T198" s="22"/>
      <c r="U198" s="22"/>
      <c r="V198" s="22"/>
      <c r="W198" s="22"/>
      <c r="X198" s="22"/>
      <c r="Y198" s="22"/>
    </row>
    <row r="199" spans="3:73" ht="25.5" x14ac:dyDescent="0.2">
      <c r="C199" s="30" t="s">
        <v>393</v>
      </c>
      <c r="D199" s="94">
        <f>'Перечень инв.проектов ТКО'!R7</f>
        <v>0</v>
      </c>
      <c r="E199" s="51">
        <v>25</v>
      </c>
      <c r="F199" s="82">
        <f t="shared" si="51"/>
        <v>4</v>
      </c>
      <c r="G199" s="94"/>
      <c r="H199" s="94"/>
      <c r="I199" s="94"/>
      <c r="J199" s="94"/>
      <c r="K199" s="94"/>
      <c r="L199" s="94">
        <f t="shared" si="50"/>
        <v>0</v>
      </c>
      <c r="M199" s="94">
        <f t="shared" si="50"/>
        <v>0</v>
      </c>
      <c r="N199" s="94">
        <f t="shared" si="50"/>
        <v>0</v>
      </c>
      <c r="O199" s="94">
        <f t="shared" si="50"/>
        <v>0</v>
      </c>
      <c r="P199" s="94">
        <f t="shared" si="50"/>
        <v>0</v>
      </c>
      <c r="Q199" s="94">
        <f t="shared" si="50"/>
        <v>0</v>
      </c>
      <c r="R199" s="94">
        <f t="shared" si="50"/>
        <v>0</v>
      </c>
      <c r="S199" s="94">
        <f t="shared" si="50"/>
        <v>0</v>
      </c>
      <c r="T199" s="22"/>
      <c r="U199" s="22"/>
      <c r="V199" s="22"/>
      <c r="W199" s="22"/>
      <c r="X199" s="22"/>
      <c r="Y199" s="22"/>
    </row>
    <row r="200" spans="3:73" ht="25.5" x14ac:dyDescent="0.2">
      <c r="C200" s="30" t="s">
        <v>394</v>
      </c>
      <c r="D200" s="94">
        <f>'Перечень инв.проектов ТКО'!S8</f>
        <v>0</v>
      </c>
      <c r="E200" s="51">
        <v>25</v>
      </c>
      <c r="F200" s="82">
        <f t="shared" si="51"/>
        <v>4</v>
      </c>
      <c r="G200" s="94"/>
      <c r="H200" s="94"/>
      <c r="I200" s="94"/>
      <c r="J200" s="94"/>
      <c r="K200" s="94"/>
      <c r="L200" s="94"/>
      <c r="M200" s="94">
        <f t="shared" si="50"/>
        <v>0</v>
      </c>
      <c r="N200" s="94">
        <f t="shared" si="50"/>
        <v>0</v>
      </c>
      <c r="O200" s="94">
        <f t="shared" si="50"/>
        <v>0</v>
      </c>
      <c r="P200" s="94">
        <f t="shared" si="50"/>
        <v>0</v>
      </c>
      <c r="Q200" s="94">
        <f t="shared" si="50"/>
        <v>0</v>
      </c>
      <c r="R200" s="94">
        <f t="shared" si="50"/>
        <v>0</v>
      </c>
      <c r="S200" s="94">
        <f t="shared" si="50"/>
        <v>0</v>
      </c>
      <c r="T200" s="22"/>
      <c r="U200" s="22"/>
      <c r="V200" s="22"/>
      <c r="W200" s="22"/>
      <c r="X200" s="22"/>
      <c r="Y200" s="22"/>
    </row>
    <row r="201" spans="3:73" ht="25.5" x14ac:dyDescent="0.2">
      <c r="C201" s="30" t="s">
        <v>395</v>
      </c>
      <c r="D201" s="94">
        <f>'Перечень инв.проектов ТКО'!T9</f>
        <v>0</v>
      </c>
      <c r="E201" s="51">
        <v>25</v>
      </c>
      <c r="F201" s="82">
        <f t="shared" si="51"/>
        <v>4</v>
      </c>
      <c r="G201" s="94"/>
      <c r="H201" s="94"/>
      <c r="I201" s="94"/>
      <c r="J201" s="94"/>
      <c r="K201" s="94"/>
      <c r="L201" s="94"/>
      <c r="M201" s="94"/>
      <c r="N201" s="94">
        <f t="shared" si="50"/>
        <v>0</v>
      </c>
      <c r="O201" s="94">
        <f t="shared" si="50"/>
        <v>0</v>
      </c>
      <c r="P201" s="94">
        <f t="shared" si="50"/>
        <v>0</v>
      </c>
      <c r="Q201" s="94">
        <f t="shared" si="50"/>
        <v>0</v>
      </c>
      <c r="R201" s="94">
        <f t="shared" si="50"/>
        <v>0</v>
      </c>
      <c r="S201" s="94">
        <f t="shared" si="50"/>
        <v>0</v>
      </c>
      <c r="T201" s="22"/>
      <c r="U201" s="22"/>
      <c r="V201" s="22"/>
      <c r="W201" s="22"/>
      <c r="X201" s="22"/>
      <c r="Y201" s="22"/>
    </row>
    <row r="202" spans="3:73" ht="25.5" x14ac:dyDescent="0.2">
      <c r="C202" s="30" t="s">
        <v>396</v>
      </c>
      <c r="D202" s="94">
        <f>'Перечень инв.проектов ТКО'!U10</f>
        <v>0</v>
      </c>
      <c r="E202" s="51">
        <v>25</v>
      </c>
      <c r="F202" s="82">
        <f t="shared" si="51"/>
        <v>4</v>
      </c>
      <c r="G202" s="94"/>
      <c r="H202" s="94"/>
      <c r="I202" s="94"/>
      <c r="J202" s="94"/>
      <c r="K202" s="94"/>
      <c r="L202" s="94"/>
      <c r="M202" s="94"/>
      <c r="N202" s="94"/>
      <c r="O202" s="94">
        <f t="shared" si="50"/>
        <v>0</v>
      </c>
      <c r="P202" s="94">
        <f t="shared" si="50"/>
        <v>0</v>
      </c>
      <c r="Q202" s="94">
        <f t="shared" si="50"/>
        <v>0</v>
      </c>
      <c r="R202" s="94">
        <f t="shared" si="50"/>
        <v>0</v>
      </c>
      <c r="S202" s="94">
        <f t="shared" si="50"/>
        <v>0</v>
      </c>
      <c r="T202" s="22"/>
      <c r="U202" s="22"/>
      <c r="V202" s="22"/>
      <c r="W202" s="22"/>
      <c r="X202" s="22"/>
      <c r="Y202" s="22"/>
    </row>
    <row r="203" spans="3:73" ht="25.5" x14ac:dyDescent="0.2">
      <c r="C203" s="30" t="s">
        <v>397</v>
      </c>
      <c r="D203" s="94">
        <f>'Перечень инв.проектов ТКО'!V11</f>
        <v>0</v>
      </c>
      <c r="E203" s="51">
        <v>25</v>
      </c>
      <c r="F203" s="82">
        <f t="shared" si="51"/>
        <v>4</v>
      </c>
      <c r="G203" s="94"/>
      <c r="H203" s="94"/>
      <c r="I203" s="94"/>
      <c r="J203" s="94"/>
      <c r="K203" s="94"/>
      <c r="L203" s="94"/>
      <c r="M203" s="94"/>
      <c r="N203" s="94"/>
      <c r="O203" s="94"/>
      <c r="P203" s="94">
        <f t="shared" si="50"/>
        <v>0</v>
      </c>
      <c r="Q203" s="94">
        <f t="shared" si="50"/>
        <v>0</v>
      </c>
      <c r="R203" s="94">
        <f t="shared" si="50"/>
        <v>0</v>
      </c>
      <c r="S203" s="94">
        <f t="shared" si="50"/>
        <v>0</v>
      </c>
      <c r="T203" s="22"/>
      <c r="U203" s="22"/>
      <c r="V203" s="22"/>
      <c r="W203" s="22"/>
      <c r="X203" s="22"/>
      <c r="Y203" s="22"/>
    </row>
    <row r="204" spans="3:73" ht="25.5" x14ac:dyDescent="0.2">
      <c r="C204" s="30" t="s">
        <v>398</v>
      </c>
      <c r="D204" s="94">
        <f>'Перечень инв.проектов ТКО'!W12</f>
        <v>0</v>
      </c>
      <c r="E204" s="51">
        <v>25</v>
      </c>
      <c r="F204" s="82">
        <f t="shared" si="51"/>
        <v>4</v>
      </c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>
        <f t="shared" si="50"/>
        <v>0</v>
      </c>
      <c r="R204" s="94">
        <f t="shared" si="50"/>
        <v>0</v>
      </c>
      <c r="S204" s="94">
        <f t="shared" si="50"/>
        <v>0</v>
      </c>
      <c r="T204" s="22"/>
      <c r="U204" s="22"/>
      <c r="V204" s="22"/>
      <c r="W204" s="22"/>
      <c r="X204" s="22"/>
      <c r="Y204" s="22"/>
    </row>
    <row r="205" spans="3:73" ht="25.5" x14ac:dyDescent="0.2">
      <c r="C205" s="30" t="s">
        <v>399</v>
      </c>
      <c r="D205" s="94">
        <f>'Перечень инв.проектов ТКО'!X13</f>
        <v>0</v>
      </c>
      <c r="E205" s="51">
        <v>25</v>
      </c>
      <c r="F205" s="82">
        <f t="shared" si="51"/>
        <v>4</v>
      </c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>
        <f t="shared" si="50"/>
        <v>0</v>
      </c>
      <c r="S205" s="94">
        <f t="shared" si="50"/>
        <v>0</v>
      </c>
      <c r="T205" s="22"/>
      <c r="U205" s="22"/>
      <c r="V205" s="22"/>
      <c r="W205" s="22"/>
      <c r="X205" s="22"/>
      <c r="Y205" s="22"/>
    </row>
    <row r="206" spans="3:73" ht="25.5" x14ac:dyDescent="0.2">
      <c r="C206" s="30" t="s">
        <v>400</v>
      </c>
      <c r="D206" s="94">
        <f>'Перечень инв.проектов ТКО'!Y14</f>
        <v>0</v>
      </c>
      <c r="E206" s="51">
        <v>25</v>
      </c>
      <c r="F206" s="82">
        <f t="shared" si="51"/>
        <v>4</v>
      </c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>
        <f t="shared" si="50"/>
        <v>0</v>
      </c>
      <c r="T206" s="22"/>
      <c r="U206" s="22"/>
      <c r="V206" s="22"/>
      <c r="W206" s="22"/>
      <c r="X206" s="22"/>
      <c r="Y206" s="22"/>
    </row>
    <row r="207" spans="3:73" s="98" customFormat="1" x14ac:dyDescent="0.2">
      <c r="C207" s="418" t="s">
        <v>278</v>
      </c>
      <c r="D207" s="418"/>
      <c r="E207" s="418"/>
      <c r="F207" s="418"/>
      <c r="G207" s="99">
        <f t="shared" ref="G207:S207" si="52">SUM(G194:G206)</f>
        <v>0</v>
      </c>
      <c r="H207" s="99">
        <f t="shared" si="52"/>
        <v>2888</v>
      </c>
      <c r="I207" s="99">
        <f t="shared" si="52"/>
        <v>2888</v>
      </c>
      <c r="J207" s="99">
        <f t="shared" si="52"/>
        <v>2888</v>
      </c>
      <c r="K207" s="99">
        <f t="shared" si="52"/>
        <v>2888</v>
      </c>
      <c r="L207" s="99">
        <f t="shared" si="52"/>
        <v>2888</v>
      </c>
      <c r="M207" s="99">
        <f t="shared" si="52"/>
        <v>2888</v>
      </c>
      <c r="N207" s="99">
        <f t="shared" si="52"/>
        <v>2888</v>
      </c>
      <c r="O207" s="99">
        <f t="shared" si="52"/>
        <v>2888</v>
      </c>
      <c r="P207" s="99">
        <f t="shared" si="52"/>
        <v>2888</v>
      </c>
      <c r="Q207" s="99">
        <f t="shared" si="52"/>
        <v>2888</v>
      </c>
      <c r="R207" s="99">
        <f t="shared" si="52"/>
        <v>2888</v>
      </c>
      <c r="S207" s="99">
        <f t="shared" si="52"/>
        <v>2888</v>
      </c>
    </row>
    <row r="214" spans="4:4" x14ac:dyDescent="0.2">
      <c r="D214" s="23"/>
    </row>
    <row r="215" spans="4:4" x14ac:dyDescent="0.2">
      <c r="D215" s="23"/>
    </row>
    <row r="216" spans="4:4" x14ac:dyDescent="0.2">
      <c r="D216" s="23"/>
    </row>
    <row r="217" spans="4:4" x14ac:dyDescent="0.2">
      <c r="D217" s="23"/>
    </row>
    <row r="218" spans="4:4" x14ac:dyDescent="0.2">
      <c r="D218" s="23"/>
    </row>
  </sheetData>
  <mergeCells count="50">
    <mergeCell ref="C8:S8"/>
    <mergeCell ref="G166:S166"/>
    <mergeCell ref="G145:S145"/>
    <mergeCell ref="C5:K5"/>
    <mergeCell ref="C6:C7"/>
    <mergeCell ref="D6:D7"/>
    <mergeCell ref="E6:E7"/>
    <mergeCell ref="F6:F7"/>
    <mergeCell ref="C141:F141"/>
    <mergeCell ref="C145:C146"/>
    <mergeCell ref="D145:D146"/>
    <mergeCell ref="E145:E146"/>
    <mergeCell ref="F145:F146"/>
    <mergeCell ref="C161:F161"/>
    <mergeCell ref="E91:E92"/>
    <mergeCell ref="F91:F92"/>
    <mergeCell ref="C207:F207"/>
    <mergeCell ref="C187:F187"/>
    <mergeCell ref="C191:C192"/>
    <mergeCell ref="D191:D192"/>
    <mergeCell ref="E191:E192"/>
    <mergeCell ref="F191:F192"/>
    <mergeCell ref="G191:S191"/>
    <mergeCell ref="C193:S193"/>
    <mergeCell ref="C166:C167"/>
    <mergeCell ref="D166:D167"/>
    <mergeCell ref="E166:E167"/>
    <mergeCell ref="F166:F167"/>
    <mergeCell ref="C91:C92"/>
    <mergeCell ref="D91:D92"/>
    <mergeCell ref="C28:F28"/>
    <mergeCell ref="G53:S53"/>
    <mergeCell ref="C71:S71"/>
    <mergeCell ref="F53:F54"/>
    <mergeCell ref="C70:F70"/>
    <mergeCell ref="C49:F49"/>
    <mergeCell ref="C29:S29"/>
    <mergeCell ref="C87:F87"/>
    <mergeCell ref="C50:F50"/>
    <mergeCell ref="C53:C54"/>
    <mergeCell ref="D53:D54"/>
    <mergeCell ref="E53:E54"/>
    <mergeCell ref="C55:S55"/>
    <mergeCell ref="C86:F86"/>
    <mergeCell ref="C108:F108"/>
    <mergeCell ref="C124:F124"/>
    <mergeCell ref="C140:F140"/>
    <mergeCell ref="C93:S93"/>
    <mergeCell ref="C109:S109"/>
    <mergeCell ref="C125:S125"/>
  </mergeCells>
  <dataValidations count="1">
    <dataValidation type="list" allowBlank="1" showInputMessage="1" showErrorMessage="1" sqref="C190 C165 FK144 AA144 DS144 EQ144 FA144 AA165">
      <formula1>РСО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zoomScale="85" zoomScaleNormal="85" workbookViewId="0">
      <pane ySplit="3" topLeftCell="A5" activePane="bottomLeft" state="frozen"/>
      <selection activeCell="E1" sqref="E1"/>
      <selection pane="bottomLeft" activeCell="D9" sqref="D9"/>
    </sheetView>
  </sheetViews>
  <sheetFormatPr defaultColWidth="9.1640625" defaultRowHeight="12.75" x14ac:dyDescent="0.2"/>
  <cols>
    <col min="1" max="1" width="9.1640625" style="102" customWidth="1"/>
    <col min="2" max="2" width="17" style="102" customWidth="1"/>
    <col min="3" max="3" width="21.33203125" style="102" customWidth="1"/>
    <col min="4" max="4" width="20.5" style="102" customWidth="1"/>
    <col min="5" max="5" width="26" style="89" customWidth="1"/>
    <col min="6" max="6" width="17" style="89" customWidth="1"/>
    <col min="7" max="7" width="18.1640625" style="89" customWidth="1"/>
    <col min="8" max="8" width="31.6640625" style="89" customWidth="1"/>
    <col min="9" max="9" width="19.6640625" style="89" customWidth="1"/>
    <col min="10" max="10" width="26.1640625" style="89" customWidth="1"/>
    <col min="11" max="11" width="31.6640625" style="89" customWidth="1"/>
    <col min="12" max="12" width="17.83203125" style="89" customWidth="1"/>
    <col min="13" max="13" width="21.6640625" style="89" customWidth="1"/>
    <col min="14" max="27" width="14.1640625" style="89" customWidth="1"/>
    <col min="28" max="32" width="14.1640625" style="89" hidden="1" customWidth="1"/>
    <col min="33" max="33" width="14.1640625" style="89" customWidth="1"/>
    <col min="34" max="58" width="9.1640625" style="7" customWidth="1"/>
    <col min="59" max="16384" width="9.1640625" style="7"/>
  </cols>
  <sheetData>
    <row r="1" spans="1:44" x14ac:dyDescent="0.2">
      <c r="A1" s="422" t="s">
        <v>173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  <c r="Z1" s="422"/>
      <c r="AA1" s="422"/>
      <c r="AB1" s="422"/>
      <c r="AC1" s="422"/>
      <c r="AD1" s="422"/>
      <c r="AE1" s="422"/>
      <c r="AF1" s="422"/>
      <c r="AG1" s="422"/>
    </row>
    <row r="2" spans="1:44" x14ac:dyDescent="0.2">
      <c r="A2" s="423" t="s">
        <v>36</v>
      </c>
      <c r="B2" s="423" t="s">
        <v>140</v>
      </c>
      <c r="C2" s="423" t="s">
        <v>141</v>
      </c>
      <c r="D2" s="423" t="s">
        <v>174</v>
      </c>
      <c r="E2" s="421" t="s">
        <v>175</v>
      </c>
      <c r="F2" s="421" t="s">
        <v>144</v>
      </c>
      <c r="G2" s="421" t="s">
        <v>150</v>
      </c>
      <c r="H2" s="421" t="s">
        <v>145</v>
      </c>
      <c r="I2" s="421" t="s">
        <v>148</v>
      </c>
      <c r="J2" s="425" t="s">
        <v>146</v>
      </c>
      <c r="K2" s="425" t="s">
        <v>176</v>
      </c>
      <c r="L2" s="421" t="s">
        <v>147</v>
      </c>
      <c r="M2" s="421" t="s">
        <v>390</v>
      </c>
      <c r="N2" s="421" t="s">
        <v>311</v>
      </c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  <c r="AB2" s="421"/>
      <c r="AC2" s="421"/>
      <c r="AD2" s="421"/>
      <c r="AE2" s="421"/>
      <c r="AF2" s="421"/>
      <c r="AG2" s="421"/>
    </row>
    <row r="3" spans="1:44" x14ac:dyDescent="0.2">
      <c r="A3" s="423"/>
      <c r="B3" s="423"/>
      <c r="C3" s="423"/>
      <c r="D3" s="423"/>
      <c r="E3" s="421"/>
      <c r="F3" s="421"/>
      <c r="G3" s="421"/>
      <c r="H3" s="421"/>
      <c r="I3" s="421"/>
      <c r="J3" s="425"/>
      <c r="K3" s="425"/>
      <c r="L3" s="421"/>
      <c r="M3" s="421"/>
      <c r="N3" s="5">
        <v>2022</v>
      </c>
      <c r="O3" s="5">
        <v>2023</v>
      </c>
      <c r="P3" s="5">
        <v>2024</v>
      </c>
      <c r="Q3" s="5">
        <v>2025</v>
      </c>
      <c r="R3" s="5">
        <v>2026</v>
      </c>
      <c r="S3" s="5">
        <v>2027</v>
      </c>
      <c r="T3" s="5">
        <v>2028</v>
      </c>
      <c r="U3" s="5">
        <v>2029</v>
      </c>
      <c r="V3" s="5">
        <v>2030</v>
      </c>
      <c r="W3" s="5">
        <v>2031</v>
      </c>
      <c r="X3" s="5">
        <v>2032</v>
      </c>
      <c r="Y3" s="5">
        <v>2033</v>
      </c>
      <c r="Z3" s="5">
        <v>2034</v>
      </c>
      <c r="AA3" s="5">
        <v>2035</v>
      </c>
      <c r="AB3" s="5">
        <v>2036</v>
      </c>
      <c r="AC3" s="5">
        <v>2037</v>
      </c>
      <c r="AD3" s="5">
        <v>2038</v>
      </c>
      <c r="AE3" s="5">
        <v>2039</v>
      </c>
      <c r="AF3" s="5">
        <v>2040</v>
      </c>
      <c r="AG3" s="27" t="s">
        <v>177</v>
      </c>
    </row>
    <row r="4" spans="1:44" x14ac:dyDescent="0.2">
      <c r="A4" s="101" t="s">
        <v>178</v>
      </c>
      <c r="B4" s="423" t="s">
        <v>179</v>
      </c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52">
        <f>SUM(M5)</f>
        <v>1261.977485315093</v>
      </c>
      <c r="N4" s="52"/>
      <c r="O4" s="52">
        <f t="shared" ref="O4:AF4" si="0">SUM(O5:O6)</f>
        <v>0</v>
      </c>
      <c r="P4" s="52">
        <f t="shared" si="0"/>
        <v>2832.0147115723285</v>
      </c>
      <c r="Q4" s="52">
        <f t="shared" si="0"/>
        <v>0</v>
      </c>
      <c r="R4" s="52">
        <f t="shared" si="0"/>
        <v>0</v>
      </c>
      <c r="S4" s="52">
        <f t="shared" si="0"/>
        <v>0</v>
      </c>
      <c r="T4" s="52">
        <f t="shared" si="0"/>
        <v>0</v>
      </c>
      <c r="U4" s="52">
        <f t="shared" si="0"/>
        <v>0</v>
      </c>
      <c r="V4" s="52">
        <f t="shared" si="0"/>
        <v>0</v>
      </c>
      <c r="W4" s="52">
        <f t="shared" si="0"/>
        <v>0</v>
      </c>
      <c r="X4" s="52">
        <f t="shared" si="0"/>
        <v>0</v>
      </c>
      <c r="Y4" s="52">
        <f t="shared" si="0"/>
        <v>0</v>
      </c>
      <c r="Z4" s="52">
        <f t="shared" si="0"/>
        <v>0</v>
      </c>
      <c r="AA4" s="52">
        <f t="shared" si="0"/>
        <v>0</v>
      </c>
      <c r="AB4" s="52">
        <f t="shared" si="0"/>
        <v>0</v>
      </c>
      <c r="AC4" s="52">
        <f t="shared" si="0"/>
        <v>0</v>
      </c>
      <c r="AD4" s="52">
        <f t="shared" si="0"/>
        <v>0</v>
      </c>
      <c r="AE4" s="52">
        <f t="shared" si="0"/>
        <v>0</v>
      </c>
      <c r="AF4" s="52">
        <f t="shared" si="0"/>
        <v>0</v>
      </c>
      <c r="AG4" s="52">
        <f>SUM(AG5:AG6)</f>
        <v>2832.0147115723285</v>
      </c>
    </row>
    <row r="5" spans="1:44" ht="76.5" x14ac:dyDescent="0.2">
      <c r="A5" s="43" t="s">
        <v>115</v>
      </c>
      <c r="B5" s="53" t="s">
        <v>595</v>
      </c>
      <c r="C5" s="54" t="s">
        <v>153</v>
      </c>
      <c r="D5" s="53" t="s">
        <v>154</v>
      </c>
      <c r="E5" s="90" t="s">
        <v>602</v>
      </c>
      <c r="F5" s="39" t="s">
        <v>643</v>
      </c>
      <c r="G5" s="55" t="s">
        <v>156</v>
      </c>
      <c r="H5" s="39" t="s">
        <v>604</v>
      </c>
      <c r="I5" s="46">
        <v>2024</v>
      </c>
      <c r="J5" s="39" t="s">
        <v>366</v>
      </c>
      <c r="K5" s="44" t="s">
        <v>153</v>
      </c>
      <c r="L5" s="59" t="s">
        <v>310</v>
      </c>
      <c r="M5" s="45">
        <f>SUM(N5:AF5)</f>
        <v>1261.977485315093</v>
      </c>
      <c r="N5" s="55"/>
      <c r="O5" s="225"/>
      <c r="P5" s="224">
        <v>1261.977485315093</v>
      </c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52">
        <f>SUM(N5:AF5)</f>
        <v>1261.977485315093</v>
      </c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</row>
    <row r="6" spans="1:44" ht="76.5" x14ac:dyDescent="0.2">
      <c r="A6" s="43" t="s">
        <v>116</v>
      </c>
      <c r="B6" s="53" t="s">
        <v>595</v>
      </c>
      <c r="C6" s="54" t="s">
        <v>153</v>
      </c>
      <c r="D6" s="53" t="s">
        <v>154</v>
      </c>
      <c r="E6" s="90" t="s">
        <v>603</v>
      </c>
      <c r="F6" s="240" t="s">
        <v>644</v>
      </c>
      <c r="G6" s="55" t="s">
        <v>156</v>
      </c>
      <c r="H6" s="240" t="s">
        <v>604</v>
      </c>
      <c r="I6" s="46">
        <v>2024</v>
      </c>
      <c r="J6" s="240" t="s">
        <v>366</v>
      </c>
      <c r="K6" s="44" t="s">
        <v>153</v>
      </c>
      <c r="L6" s="59" t="s">
        <v>310</v>
      </c>
      <c r="M6" s="45"/>
      <c r="N6" s="55"/>
      <c r="O6" s="225"/>
      <c r="P6" s="224">
        <v>1570.0372262572357</v>
      </c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52">
        <f>SUM(N6:AF6)</f>
        <v>1570.0372262572357</v>
      </c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</row>
    <row r="7" spans="1:44" x14ac:dyDescent="0.2">
      <c r="A7" s="101" t="s">
        <v>180</v>
      </c>
      <c r="B7" s="423" t="s">
        <v>181</v>
      </c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52">
        <f t="shared" ref="M7:AF7" si="1">SUM(M8:M48)</f>
        <v>2509254.5852884273</v>
      </c>
      <c r="N7" s="52">
        <f t="shared" si="1"/>
        <v>0</v>
      </c>
      <c r="O7" s="52">
        <f t="shared" si="1"/>
        <v>27477.4</v>
      </c>
      <c r="P7" s="52">
        <f t="shared" si="1"/>
        <v>123960</v>
      </c>
      <c r="Q7" s="52">
        <f t="shared" si="1"/>
        <v>1157566.7082873862</v>
      </c>
      <c r="R7" s="52">
        <f t="shared" si="1"/>
        <v>1103202.5203942945</v>
      </c>
      <c r="S7" s="52">
        <f t="shared" si="1"/>
        <v>770695.05314069986</v>
      </c>
      <c r="T7" s="52">
        <f t="shared" si="1"/>
        <v>446120</v>
      </c>
      <c r="U7" s="52">
        <f t="shared" si="1"/>
        <v>449980.30346604728</v>
      </c>
      <c r="V7" s="52">
        <f t="shared" si="1"/>
        <v>0</v>
      </c>
      <c r="W7" s="52">
        <f t="shared" si="1"/>
        <v>0</v>
      </c>
      <c r="X7" s="52">
        <f t="shared" si="1"/>
        <v>0</v>
      </c>
      <c r="Y7" s="52">
        <f t="shared" si="1"/>
        <v>0</v>
      </c>
      <c r="Z7" s="52">
        <f t="shared" si="1"/>
        <v>0</v>
      </c>
      <c r="AA7" s="52">
        <f t="shared" si="1"/>
        <v>0</v>
      </c>
      <c r="AB7" s="52">
        <f t="shared" si="1"/>
        <v>0</v>
      </c>
      <c r="AC7" s="52">
        <f t="shared" si="1"/>
        <v>0</v>
      </c>
      <c r="AD7" s="52">
        <f t="shared" si="1"/>
        <v>0</v>
      </c>
      <c r="AE7" s="52">
        <f t="shared" si="1"/>
        <v>0</v>
      </c>
      <c r="AF7" s="52">
        <f t="shared" si="1"/>
        <v>0</v>
      </c>
      <c r="AG7" s="52">
        <f>IF(SUM(AG8:AG48)=0,"",SUM(AG8:AG48))</f>
        <v>4079001.9852884272</v>
      </c>
    </row>
    <row r="8" spans="1:44" ht="89.25" x14ac:dyDescent="0.2">
      <c r="A8" s="43" t="s">
        <v>119</v>
      </c>
      <c r="B8" s="53" t="s">
        <v>595</v>
      </c>
      <c r="C8" s="54" t="s">
        <v>164</v>
      </c>
      <c r="D8" s="53" t="s">
        <v>162</v>
      </c>
      <c r="E8" s="189" t="s">
        <v>605</v>
      </c>
      <c r="F8" s="191" t="s">
        <v>612</v>
      </c>
      <c r="G8" s="192" t="s">
        <v>161</v>
      </c>
      <c r="H8" s="191" t="s">
        <v>613</v>
      </c>
      <c r="I8" s="191">
        <v>2025</v>
      </c>
      <c r="J8" s="191" t="s">
        <v>312</v>
      </c>
      <c r="K8" s="188" t="s">
        <v>164</v>
      </c>
      <c r="L8" s="193" t="s">
        <v>163</v>
      </c>
      <c r="M8" s="192">
        <f>SUM(N8:AF8)</f>
        <v>530340</v>
      </c>
      <c r="N8" s="55"/>
      <c r="O8" s="224">
        <v>0</v>
      </c>
      <c r="P8" s="224">
        <v>0</v>
      </c>
      <c r="Q8" s="224">
        <v>530340</v>
      </c>
      <c r="R8" s="224">
        <v>0</v>
      </c>
      <c r="S8" s="225">
        <v>0</v>
      </c>
      <c r="T8" s="225">
        <v>0</v>
      </c>
      <c r="U8" s="225">
        <v>0</v>
      </c>
      <c r="V8" s="225">
        <v>0</v>
      </c>
      <c r="W8" s="225">
        <v>0</v>
      </c>
      <c r="X8" s="225">
        <v>0</v>
      </c>
      <c r="Y8" s="225">
        <v>0</v>
      </c>
      <c r="Z8" s="225">
        <v>0</v>
      </c>
      <c r="AA8" s="225">
        <v>0</v>
      </c>
      <c r="AB8" s="225"/>
      <c r="AC8" s="225"/>
      <c r="AD8" s="225"/>
      <c r="AE8" s="225"/>
      <c r="AF8" s="225"/>
      <c r="AG8" s="52">
        <f>SUM(N8:AF8)</f>
        <v>530340</v>
      </c>
    </row>
    <row r="9" spans="1:44" ht="89.25" x14ac:dyDescent="0.2">
      <c r="A9" s="43" t="s">
        <v>121</v>
      </c>
      <c r="B9" s="53" t="s">
        <v>595</v>
      </c>
      <c r="C9" s="54" t="s">
        <v>164</v>
      </c>
      <c r="D9" s="53" t="s">
        <v>162</v>
      </c>
      <c r="E9" s="190" t="s">
        <v>606</v>
      </c>
      <c r="F9" s="191" t="s">
        <v>639</v>
      </c>
      <c r="G9" s="192" t="s">
        <v>161</v>
      </c>
      <c r="H9" s="191" t="s">
        <v>613</v>
      </c>
      <c r="I9" s="184">
        <v>2026</v>
      </c>
      <c r="J9" s="191" t="s">
        <v>312</v>
      </c>
      <c r="K9" s="188" t="s">
        <v>164</v>
      </c>
      <c r="L9" s="193" t="s">
        <v>163</v>
      </c>
      <c r="M9" s="192">
        <f t="shared" ref="M9:M48" si="2">SUM(N9:AF9)</f>
        <v>461120</v>
      </c>
      <c r="N9" s="55"/>
      <c r="O9" s="224">
        <v>0</v>
      </c>
      <c r="P9" s="224">
        <v>0</v>
      </c>
      <c r="Q9" s="224">
        <v>0</v>
      </c>
      <c r="R9" s="224">
        <v>461120</v>
      </c>
      <c r="S9" s="225">
        <v>0</v>
      </c>
      <c r="T9" s="225">
        <v>0</v>
      </c>
      <c r="U9" s="225">
        <v>0</v>
      </c>
      <c r="V9" s="225">
        <v>0</v>
      </c>
      <c r="W9" s="225">
        <v>0</v>
      </c>
      <c r="X9" s="225">
        <v>0</v>
      </c>
      <c r="Y9" s="225">
        <v>0</v>
      </c>
      <c r="Z9" s="225">
        <v>0</v>
      </c>
      <c r="AA9" s="225">
        <v>0</v>
      </c>
      <c r="AB9" s="225"/>
      <c r="AC9" s="225"/>
      <c r="AD9" s="225"/>
      <c r="AE9" s="225"/>
      <c r="AF9" s="225"/>
      <c r="AG9" s="52">
        <f t="shared" ref="AG9:AG48" si="3">SUM(N9:AF9)</f>
        <v>461120</v>
      </c>
    </row>
    <row r="10" spans="1:44" ht="89.25" x14ac:dyDescent="0.2">
      <c r="A10" s="43" t="s">
        <v>138</v>
      </c>
      <c r="B10" s="53" t="s">
        <v>595</v>
      </c>
      <c r="C10" s="54" t="s">
        <v>164</v>
      </c>
      <c r="D10" s="53" t="s">
        <v>162</v>
      </c>
      <c r="E10" s="190" t="s">
        <v>607</v>
      </c>
      <c r="F10" s="191" t="s">
        <v>640</v>
      </c>
      <c r="G10" s="192" t="s">
        <v>161</v>
      </c>
      <c r="H10" s="191" t="s">
        <v>613</v>
      </c>
      <c r="I10" s="184">
        <v>2027</v>
      </c>
      <c r="J10" s="191" t="s">
        <v>312</v>
      </c>
      <c r="K10" s="188" t="s">
        <v>164</v>
      </c>
      <c r="L10" s="193" t="s">
        <v>163</v>
      </c>
      <c r="M10" s="192">
        <f t="shared" si="2"/>
        <v>330500</v>
      </c>
      <c r="N10" s="55"/>
      <c r="O10" s="224">
        <v>0</v>
      </c>
      <c r="P10" s="224">
        <v>0</v>
      </c>
      <c r="Q10" s="224">
        <v>0</v>
      </c>
      <c r="R10" s="224">
        <v>0</v>
      </c>
      <c r="S10" s="225">
        <v>330500</v>
      </c>
      <c r="T10" s="225">
        <v>0</v>
      </c>
      <c r="U10" s="225">
        <v>0</v>
      </c>
      <c r="V10" s="225">
        <v>0</v>
      </c>
      <c r="W10" s="225">
        <v>0</v>
      </c>
      <c r="X10" s="225">
        <v>0</v>
      </c>
      <c r="Y10" s="225">
        <v>0</v>
      </c>
      <c r="Z10" s="225">
        <v>0</v>
      </c>
      <c r="AA10" s="225">
        <v>0</v>
      </c>
      <c r="AB10" s="225"/>
      <c r="AC10" s="225"/>
      <c r="AD10" s="225"/>
      <c r="AE10" s="225"/>
      <c r="AF10" s="225"/>
      <c r="AG10" s="52">
        <f t="shared" si="3"/>
        <v>330500</v>
      </c>
    </row>
    <row r="11" spans="1:44" ht="89.25" x14ac:dyDescent="0.2">
      <c r="A11" s="43" t="s">
        <v>139</v>
      </c>
      <c r="B11" s="53" t="s">
        <v>595</v>
      </c>
      <c r="C11" s="54" t="s">
        <v>164</v>
      </c>
      <c r="D11" s="53" t="s">
        <v>162</v>
      </c>
      <c r="E11" s="190" t="s">
        <v>608</v>
      </c>
      <c r="F11" s="191" t="s">
        <v>641</v>
      </c>
      <c r="G11" s="192" t="s">
        <v>161</v>
      </c>
      <c r="H11" s="191" t="s">
        <v>613</v>
      </c>
      <c r="I11" s="184">
        <v>2025</v>
      </c>
      <c r="J11" s="191" t="s">
        <v>312</v>
      </c>
      <c r="K11" s="188" t="s">
        <v>164</v>
      </c>
      <c r="L11" s="193" t="s">
        <v>163</v>
      </c>
      <c r="M11" s="192">
        <f t="shared" si="2"/>
        <v>265180</v>
      </c>
      <c r="N11" s="55"/>
      <c r="O11" s="224">
        <v>0</v>
      </c>
      <c r="P11" s="224">
        <v>0</v>
      </c>
      <c r="Q11" s="224">
        <v>265180</v>
      </c>
      <c r="R11" s="224">
        <v>0</v>
      </c>
      <c r="S11" s="225">
        <v>0</v>
      </c>
      <c r="T11" s="225">
        <v>0</v>
      </c>
      <c r="U11" s="225">
        <v>0</v>
      </c>
      <c r="V11" s="225">
        <v>0</v>
      </c>
      <c r="W11" s="225">
        <v>0</v>
      </c>
      <c r="X11" s="225">
        <v>0</v>
      </c>
      <c r="Y11" s="225">
        <v>0</v>
      </c>
      <c r="Z11" s="225">
        <v>0</v>
      </c>
      <c r="AA11" s="225">
        <v>0</v>
      </c>
      <c r="AB11" s="225"/>
      <c r="AC11" s="225"/>
      <c r="AD11" s="225"/>
      <c r="AE11" s="225"/>
      <c r="AF11" s="225"/>
      <c r="AG11" s="52">
        <f t="shared" si="3"/>
        <v>265180</v>
      </c>
    </row>
    <row r="12" spans="1:44" ht="89.25" x14ac:dyDescent="0.2">
      <c r="A12" s="43" t="s">
        <v>328</v>
      </c>
      <c r="B12" s="53" t="s">
        <v>595</v>
      </c>
      <c r="C12" s="54" t="s">
        <v>164</v>
      </c>
      <c r="D12" s="53" t="s">
        <v>162</v>
      </c>
      <c r="E12" s="190" t="s">
        <v>609</v>
      </c>
      <c r="F12" s="191" t="s">
        <v>640</v>
      </c>
      <c r="G12" s="192" t="s">
        <v>161</v>
      </c>
      <c r="H12" s="191" t="s">
        <v>613</v>
      </c>
      <c r="I12" s="184">
        <v>2026</v>
      </c>
      <c r="J12" s="191" t="s">
        <v>312</v>
      </c>
      <c r="K12" s="188" t="s">
        <v>164</v>
      </c>
      <c r="L12" s="193" t="s">
        <v>163</v>
      </c>
      <c r="M12" s="192">
        <f t="shared" si="2"/>
        <v>330500</v>
      </c>
      <c r="N12" s="55"/>
      <c r="O12" s="224">
        <v>0</v>
      </c>
      <c r="P12" s="224">
        <v>0</v>
      </c>
      <c r="Q12" s="224">
        <v>0</v>
      </c>
      <c r="R12" s="224">
        <v>330500</v>
      </c>
      <c r="S12" s="225">
        <v>0</v>
      </c>
      <c r="T12" s="225">
        <v>0</v>
      </c>
      <c r="U12" s="225">
        <v>0</v>
      </c>
      <c r="V12" s="225">
        <v>0</v>
      </c>
      <c r="W12" s="225">
        <v>0</v>
      </c>
      <c r="X12" s="225">
        <v>0</v>
      </c>
      <c r="Y12" s="225">
        <v>0</v>
      </c>
      <c r="Z12" s="225">
        <v>0</v>
      </c>
      <c r="AA12" s="225">
        <v>0</v>
      </c>
      <c r="AB12" s="225"/>
      <c r="AC12" s="225"/>
      <c r="AD12" s="225"/>
      <c r="AE12" s="225"/>
      <c r="AF12" s="225"/>
      <c r="AG12" s="52">
        <f t="shared" si="3"/>
        <v>330500</v>
      </c>
    </row>
    <row r="13" spans="1:44" ht="89.25" x14ac:dyDescent="0.2">
      <c r="A13" s="43" t="s">
        <v>329</v>
      </c>
      <c r="B13" s="53" t="s">
        <v>595</v>
      </c>
      <c r="C13" s="54" t="s">
        <v>164</v>
      </c>
      <c r="D13" s="53" t="s">
        <v>162</v>
      </c>
      <c r="E13" s="190" t="s">
        <v>610</v>
      </c>
      <c r="F13" s="191" t="s">
        <v>640</v>
      </c>
      <c r="G13" s="192" t="s">
        <v>161</v>
      </c>
      <c r="H13" s="191" t="s">
        <v>613</v>
      </c>
      <c r="I13" s="184">
        <v>2029</v>
      </c>
      <c r="J13" s="191" t="s">
        <v>312</v>
      </c>
      <c r="K13" s="188" t="s">
        <v>164</v>
      </c>
      <c r="L13" s="193" t="s">
        <v>163</v>
      </c>
      <c r="M13" s="192">
        <f t="shared" si="2"/>
        <v>330500</v>
      </c>
      <c r="N13" s="55"/>
      <c r="O13" s="224">
        <v>0</v>
      </c>
      <c r="P13" s="224">
        <v>0</v>
      </c>
      <c r="Q13" s="225">
        <v>0</v>
      </c>
      <c r="R13" s="225">
        <v>0</v>
      </c>
      <c r="S13" s="225">
        <v>0</v>
      </c>
      <c r="T13" s="225">
        <v>0</v>
      </c>
      <c r="U13" s="225">
        <v>330500</v>
      </c>
      <c r="V13" s="225">
        <v>0</v>
      </c>
      <c r="W13" s="225">
        <v>0</v>
      </c>
      <c r="X13" s="225">
        <v>0</v>
      </c>
      <c r="Y13" s="225">
        <v>0</v>
      </c>
      <c r="Z13" s="225">
        <v>0</v>
      </c>
      <c r="AA13" s="225">
        <v>0</v>
      </c>
      <c r="AB13" s="225"/>
      <c r="AC13" s="225"/>
      <c r="AD13" s="225"/>
      <c r="AE13" s="225"/>
      <c r="AF13" s="225"/>
      <c r="AG13" s="52">
        <f t="shared" si="3"/>
        <v>330500</v>
      </c>
    </row>
    <row r="14" spans="1:44" ht="89.25" x14ac:dyDescent="0.2">
      <c r="A14" s="43" t="s">
        <v>330</v>
      </c>
      <c r="B14" s="53" t="s">
        <v>595</v>
      </c>
      <c r="C14" s="54" t="s">
        <v>164</v>
      </c>
      <c r="D14" s="53" t="s">
        <v>162</v>
      </c>
      <c r="E14" s="190" t="s">
        <v>611</v>
      </c>
      <c r="F14" s="191" t="s">
        <v>642</v>
      </c>
      <c r="G14" s="192" t="s">
        <v>161</v>
      </c>
      <c r="H14" s="191" t="s">
        <v>613</v>
      </c>
      <c r="I14" s="184">
        <v>2027</v>
      </c>
      <c r="J14" s="191" t="s">
        <v>312</v>
      </c>
      <c r="K14" s="188" t="s">
        <v>164</v>
      </c>
      <c r="L14" s="193" t="s">
        <v>163</v>
      </c>
      <c r="M14" s="192">
        <f t="shared" si="2"/>
        <v>84847</v>
      </c>
      <c r="N14" s="55"/>
      <c r="O14" s="224">
        <v>0</v>
      </c>
      <c r="P14" s="224">
        <v>0</v>
      </c>
      <c r="Q14" s="225">
        <v>0</v>
      </c>
      <c r="R14" s="225">
        <v>0</v>
      </c>
      <c r="S14" s="225">
        <v>84847</v>
      </c>
      <c r="T14" s="225">
        <v>0</v>
      </c>
      <c r="U14" s="225">
        <v>0</v>
      </c>
      <c r="V14" s="225">
        <v>0</v>
      </c>
      <c r="W14" s="225">
        <v>0</v>
      </c>
      <c r="X14" s="225">
        <v>0</v>
      </c>
      <c r="Y14" s="225">
        <v>0</v>
      </c>
      <c r="Z14" s="225">
        <v>0</v>
      </c>
      <c r="AA14" s="225">
        <v>0</v>
      </c>
      <c r="AB14" s="225"/>
      <c r="AC14" s="225"/>
      <c r="AD14" s="225"/>
      <c r="AE14" s="225"/>
      <c r="AF14" s="225"/>
      <c r="AG14" s="52">
        <f t="shared" si="3"/>
        <v>84847</v>
      </c>
    </row>
    <row r="15" spans="1:44" ht="89.25" x14ac:dyDescent="0.2">
      <c r="A15" s="43" t="s">
        <v>331</v>
      </c>
      <c r="B15" s="53" t="s">
        <v>595</v>
      </c>
      <c r="C15" s="54" t="s">
        <v>164</v>
      </c>
      <c r="D15" s="53" t="s">
        <v>162</v>
      </c>
      <c r="E15" s="190" t="s">
        <v>614</v>
      </c>
      <c r="F15" s="191" t="s">
        <v>112</v>
      </c>
      <c r="G15" s="192" t="s">
        <v>156</v>
      </c>
      <c r="H15" s="191" t="s">
        <v>613</v>
      </c>
      <c r="I15" s="184">
        <v>2025</v>
      </c>
      <c r="J15" s="191" t="s">
        <v>312</v>
      </c>
      <c r="K15" s="188" t="s">
        <v>164</v>
      </c>
      <c r="L15" s="193" t="s">
        <v>163</v>
      </c>
      <c r="M15" s="192">
        <f t="shared" si="2"/>
        <v>52491.141955358195</v>
      </c>
      <c r="N15" s="55"/>
      <c r="O15" s="224">
        <v>0</v>
      </c>
      <c r="P15" s="224">
        <v>0</v>
      </c>
      <c r="Q15" s="225">
        <v>52491.141955358195</v>
      </c>
      <c r="R15" s="225">
        <v>0</v>
      </c>
      <c r="S15" s="225">
        <v>0</v>
      </c>
      <c r="T15" s="225">
        <v>0</v>
      </c>
      <c r="U15" s="225">
        <v>0</v>
      </c>
      <c r="V15" s="225">
        <v>0</v>
      </c>
      <c r="W15" s="225">
        <v>0</v>
      </c>
      <c r="X15" s="225">
        <v>0</v>
      </c>
      <c r="Y15" s="225">
        <v>0</v>
      </c>
      <c r="Z15" s="225">
        <v>0</v>
      </c>
      <c r="AA15" s="225">
        <v>0</v>
      </c>
      <c r="AB15" s="225"/>
      <c r="AC15" s="225"/>
      <c r="AD15" s="225"/>
      <c r="AE15" s="225"/>
      <c r="AF15" s="225"/>
      <c r="AG15" s="52">
        <f t="shared" si="3"/>
        <v>52491.141955358195</v>
      </c>
    </row>
    <row r="16" spans="1:44" ht="89.25" x14ac:dyDescent="0.2">
      <c r="A16" s="43" t="s">
        <v>332</v>
      </c>
      <c r="B16" s="53" t="s">
        <v>595</v>
      </c>
      <c r="C16" s="54" t="s">
        <v>164</v>
      </c>
      <c r="D16" s="53" t="s">
        <v>162</v>
      </c>
      <c r="E16" s="190" t="s">
        <v>615</v>
      </c>
      <c r="F16" s="191" t="s">
        <v>112</v>
      </c>
      <c r="G16" s="192" t="s">
        <v>156</v>
      </c>
      <c r="H16" s="191" t="s">
        <v>613</v>
      </c>
      <c r="I16" s="184">
        <v>2026</v>
      </c>
      <c r="J16" s="191" t="s">
        <v>621</v>
      </c>
      <c r="K16" s="188" t="s">
        <v>164</v>
      </c>
      <c r="L16" s="193" t="s">
        <v>163</v>
      </c>
      <c r="M16" s="192">
        <f t="shared" si="2"/>
        <v>39069.504195328795</v>
      </c>
      <c r="N16" s="55"/>
      <c r="O16" s="224">
        <v>0</v>
      </c>
      <c r="P16" s="224">
        <v>0</v>
      </c>
      <c r="Q16" s="225">
        <v>0</v>
      </c>
      <c r="R16" s="225">
        <v>39069.504195328795</v>
      </c>
      <c r="S16" s="225">
        <v>0</v>
      </c>
      <c r="T16" s="225">
        <v>0</v>
      </c>
      <c r="U16" s="225">
        <v>0</v>
      </c>
      <c r="V16" s="225">
        <v>0</v>
      </c>
      <c r="W16" s="225">
        <v>0</v>
      </c>
      <c r="X16" s="225">
        <v>0</v>
      </c>
      <c r="Y16" s="225">
        <v>0</v>
      </c>
      <c r="Z16" s="225">
        <v>0</v>
      </c>
      <c r="AA16" s="225">
        <v>0</v>
      </c>
      <c r="AB16" s="225"/>
      <c r="AC16" s="225"/>
      <c r="AD16" s="225"/>
      <c r="AE16" s="225"/>
      <c r="AF16" s="225"/>
      <c r="AG16" s="52">
        <f t="shared" si="3"/>
        <v>39069.504195328795</v>
      </c>
    </row>
    <row r="17" spans="1:33" ht="89.25" x14ac:dyDescent="0.2">
      <c r="A17" s="43" t="s">
        <v>333</v>
      </c>
      <c r="B17" s="53" t="s">
        <v>595</v>
      </c>
      <c r="C17" s="54" t="s">
        <v>164</v>
      </c>
      <c r="D17" s="53" t="s">
        <v>162</v>
      </c>
      <c r="E17" s="190" t="s">
        <v>616</v>
      </c>
      <c r="F17" s="191" t="s">
        <v>112</v>
      </c>
      <c r="G17" s="192" t="s">
        <v>156</v>
      </c>
      <c r="H17" s="191" t="s">
        <v>613</v>
      </c>
      <c r="I17" s="184">
        <v>2027</v>
      </c>
      <c r="J17" s="191" t="s">
        <v>621</v>
      </c>
      <c r="K17" s="188" t="s">
        <v>164</v>
      </c>
      <c r="L17" s="193" t="s">
        <v>163</v>
      </c>
      <c r="M17" s="192">
        <f t="shared" si="2"/>
        <v>25048.177004110028</v>
      </c>
      <c r="N17" s="55"/>
      <c r="O17" s="224">
        <v>0</v>
      </c>
      <c r="P17" s="224">
        <v>0</v>
      </c>
      <c r="Q17" s="225">
        <v>0</v>
      </c>
      <c r="R17" s="225">
        <v>0</v>
      </c>
      <c r="S17" s="225">
        <v>25048.177004110028</v>
      </c>
      <c r="T17" s="225">
        <v>0</v>
      </c>
      <c r="U17" s="225">
        <v>0</v>
      </c>
      <c r="V17" s="225">
        <v>0</v>
      </c>
      <c r="W17" s="225">
        <v>0</v>
      </c>
      <c r="X17" s="225">
        <v>0</v>
      </c>
      <c r="Y17" s="225">
        <v>0</v>
      </c>
      <c r="Z17" s="225">
        <v>0</v>
      </c>
      <c r="AA17" s="225">
        <v>0</v>
      </c>
      <c r="AB17" s="225"/>
      <c r="AC17" s="225"/>
      <c r="AD17" s="225"/>
      <c r="AE17" s="225"/>
      <c r="AF17" s="225"/>
      <c r="AG17" s="52">
        <f t="shared" si="3"/>
        <v>25048.177004110028</v>
      </c>
    </row>
    <row r="18" spans="1:33" ht="89.25" x14ac:dyDescent="0.2">
      <c r="A18" s="43" t="s">
        <v>334</v>
      </c>
      <c r="B18" s="53" t="s">
        <v>595</v>
      </c>
      <c r="C18" s="54" t="s">
        <v>164</v>
      </c>
      <c r="D18" s="53" t="s">
        <v>162</v>
      </c>
      <c r="E18" s="190" t="s">
        <v>617</v>
      </c>
      <c r="F18" s="191" t="s">
        <v>112</v>
      </c>
      <c r="G18" s="192" t="s">
        <v>156</v>
      </c>
      <c r="H18" s="191" t="s">
        <v>613</v>
      </c>
      <c r="I18" s="184">
        <v>2025</v>
      </c>
      <c r="J18" s="191" t="s">
        <v>621</v>
      </c>
      <c r="K18" s="188" t="s">
        <v>164</v>
      </c>
      <c r="L18" s="193" t="s">
        <v>163</v>
      </c>
      <c r="M18" s="192">
        <f t="shared" si="2"/>
        <v>8665.5663320278582</v>
      </c>
      <c r="N18" s="55"/>
      <c r="O18" s="224">
        <v>0</v>
      </c>
      <c r="P18" s="224">
        <v>0</v>
      </c>
      <c r="Q18" s="225">
        <v>8665.5663320278582</v>
      </c>
      <c r="R18" s="225">
        <v>0</v>
      </c>
      <c r="S18" s="225">
        <v>0</v>
      </c>
      <c r="T18" s="225">
        <v>0</v>
      </c>
      <c r="U18" s="225">
        <v>0</v>
      </c>
      <c r="V18" s="225">
        <v>0</v>
      </c>
      <c r="W18" s="225">
        <v>0</v>
      </c>
      <c r="X18" s="225">
        <v>0</v>
      </c>
      <c r="Y18" s="225">
        <v>0</v>
      </c>
      <c r="Z18" s="225">
        <v>0</v>
      </c>
      <c r="AA18" s="225">
        <v>0</v>
      </c>
      <c r="AB18" s="225"/>
      <c r="AC18" s="225"/>
      <c r="AD18" s="225"/>
      <c r="AE18" s="225"/>
      <c r="AF18" s="225"/>
      <c r="AG18" s="52">
        <f t="shared" si="3"/>
        <v>8665.5663320278582</v>
      </c>
    </row>
    <row r="19" spans="1:33" ht="89.25" x14ac:dyDescent="0.2">
      <c r="A19" s="43" t="s">
        <v>335</v>
      </c>
      <c r="B19" s="53" t="s">
        <v>595</v>
      </c>
      <c r="C19" s="54" t="s">
        <v>164</v>
      </c>
      <c r="D19" s="53" t="s">
        <v>162</v>
      </c>
      <c r="E19" s="190" t="s">
        <v>618</v>
      </c>
      <c r="F19" s="191" t="s">
        <v>112</v>
      </c>
      <c r="G19" s="192" t="s">
        <v>156</v>
      </c>
      <c r="H19" s="191" t="s">
        <v>613</v>
      </c>
      <c r="I19" s="184">
        <v>2026</v>
      </c>
      <c r="J19" s="191" t="s">
        <v>621</v>
      </c>
      <c r="K19" s="188" t="s">
        <v>164</v>
      </c>
      <c r="L19" s="193" t="s">
        <v>163</v>
      </c>
      <c r="M19" s="192">
        <f t="shared" si="2"/>
        <v>24303.01619896575</v>
      </c>
      <c r="N19" s="55"/>
      <c r="O19" s="224">
        <v>0</v>
      </c>
      <c r="P19" s="224">
        <v>0</v>
      </c>
      <c r="Q19" s="225">
        <v>0</v>
      </c>
      <c r="R19" s="225">
        <v>24303.01619896575</v>
      </c>
      <c r="S19" s="225">
        <v>0</v>
      </c>
      <c r="T19" s="225">
        <v>0</v>
      </c>
      <c r="U19" s="225">
        <v>0</v>
      </c>
      <c r="V19" s="225">
        <v>0</v>
      </c>
      <c r="W19" s="225">
        <v>0</v>
      </c>
      <c r="X19" s="225">
        <v>0</v>
      </c>
      <c r="Y19" s="225">
        <v>0</v>
      </c>
      <c r="Z19" s="225">
        <v>0</v>
      </c>
      <c r="AA19" s="225">
        <v>0</v>
      </c>
      <c r="AB19" s="225"/>
      <c r="AC19" s="225"/>
      <c r="AD19" s="225"/>
      <c r="AE19" s="225"/>
      <c r="AF19" s="225"/>
      <c r="AG19" s="52">
        <f t="shared" si="3"/>
        <v>24303.01619896575</v>
      </c>
    </row>
    <row r="20" spans="1:33" ht="89.25" x14ac:dyDescent="0.2">
      <c r="A20" s="43" t="s">
        <v>336</v>
      </c>
      <c r="B20" s="53" t="s">
        <v>595</v>
      </c>
      <c r="C20" s="54" t="s">
        <v>164</v>
      </c>
      <c r="D20" s="53" t="s">
        <v>162</v>
      </c>
      <c r="E20" s="190" t="s">
        <v>619</v>
      </c>
      <c r="F20" s="191" t="s">
        <v>112</v>
      </c>
      <c r="G20" s="192" t="s">
        <v>156</v>
      </c>
      <c r="H20" s="191" t="s">
        <v>613</v>
      </c>
      <c r="I20" s="184">
        <v>2029</v>
      </c>
      <c r="J20" s="191" t="s">
        <v>621</v>
      </c>
      <c r="K20" s="188" t="s">
        <v>164</v>
      </c>
      <c r="L20" s="193" t="s">
        <v>163</v>
      </c>
      <c r="M20" s="192">
        <f t="shared" si="2"/>
        <v>19480.303466047262</v>
      </c>
      <c r="N20" s="55"/>
      <c r="O20" s="224">
        <v>0</v>
      </c>
      <c r="P20" s="224">
        <v>0</v>
      </c>
      <c r="Q20" s="225">
        <v>0</v>
      </c>
      <c r="R20" s="225">
        <v>0</v>
      </c>
      <c r="S20" s="225">
        <v>0</v>
      </c>
      <c r="T20" s="225">
        <v>0</v>
      </c>
      <c r="U20" s="225">
        <v>19480.303466047262</v>
      </c>
      <c r="V20" s="225">
        <v>0</v>
      </c>
      <c r="W20" s="225">
        <v>0</v>
      </c>
      <c r="X20" s="225">
        <v>0</v>
      </c>
      <c r="Y20" s="225">
        <v>0</v>
      </c>
      <c r="Z20" s="225">
        <v>0</v>
      </c>
      <c r="AA20" s="225">
        <v>0</v>
      </c>
      <c r="AB20" s="225"/>
      <c r="AC20" s="225"/>
      <c r="AD20" s="225"/>
      <c r="AE20" s="225"/>
      <c r="AF20" s="225"/>
      <c r="AG20" s="52">
        <f t="shared" si="3"/>
        <v>19480.303466047262</v>
      </c>
    </row>
    <row r="21" spans="1:33" ht="89.25" x14ac:dyDescent="0.2">
      <c r="A21" s="43" t="s">
        <v>337</v>
      </c>
      <c r="B21" s="53" t="s">
        <v>595</v>
      </c>
      <c r="C21" s="54" t="s">
        <v>164</v>
      </c>
      <c r="D21" s="53" t="s">
        <v>162</v>
      </c>
      <c r="E21" s="190" t="s">
        <v>620</v>
      </c>
      <c r="F21" s="191" t="s">
        <v>112</v>
      </c>
      <c r="G21" s="192" t="s">
        <v>156</v>
      </c>
      <c r="H21" s="191" t="s">
        <v>613</v>
      </c>
      <c r="I21" s="184">
        <v>2027</v>
      </c>
      <c r="J21" s="191" t="s">
        <v>621</v>
      </c>
      <c r="K21" s="188" t="s">
        <v>164</v>
      </c>
      <c r="L21" s="193" t="s">
        <v>163</v>
      </c>
      <c r="M21" s="192">
        <f t="shared" si="2"/>
        <v>7209.8761365898872</v>
      </c>
      <c r="N21" s="55"/>
      <c r="O21" s="224">
        <v>0</v>
      </c>
      <c r="P21" s="224">
        <v>0</v>
      </c>
      <c r="Q21" s="225">
        <v>0</v>
      </c>
      <c r="R21" s="225">
        <v>0</v>
      </c>
      <c r="S21" s="225">
        <v>7209.8761365898872</v>
      </c>
      <c r="T21" s="225">
        <v>0</v>
      </c>
      <c r="U21" s="225">
        <v>0</v>
      </c>
      <c r="V21" s="225">
        <v>0</v>
      </c>
      <c r="W21" s="225">
        <v>0</v>
      </c>
      <c r="X21" s="225">
        <v>0</v>
      </c>
      <c r="Y21" s="225">
        <v>0</v>
      </c>
      <c r="Z21" s="225">
        <v>0</v>
      </c>
      <c r="AA21" s="225">
        <v>0</v>
      </c>
      <c r="AB21" s="225"/>
      <c r="AC21" s="225"/>
      <c r="AD21" s="225"/>
      <c r="AE21" s="225"/>
      <c r="AF21" s="225"/>
      <c r="AG21" s="52">
        <f t="shared" si="3"/>
        <v>7209.8761365898872</v>
      </c>
    </row>
    <row r="22" spans="1:33" ht="89.25" x14ac:dyDescent="0.2">
      <c r="A22" s="43" t="s">
        <v>338</v>
      </c>
      <c r="B22" s="53" t="s">
        <v>595</v>
      </c>
      <c r="C22" s="54" t="s">
        <v>164</v>
      </c>
      <c r="D22" s="53" t="s">
        <v>165</v>
      </c>
      <c r="E22" s="190" t="s">
        <v>622</v>
      </c>
      <c r="F22" s="191" t="s">
        <v>645</v>
      </c>
      <c r="G22" s="192" t="s">
        <v>156</v>
      </c>
      <c r="H22" s="191" t="s">
        <v>613</v>
      </c>
      <c r="I22" s="184">
        <v>2023</v>
      </c>
      <c r="J22" s="191" t="s">
        <v>637</v>
      </c>
      <c r="K22" s="188" t="s">
        <v>164</v>
      </c>
      <c r="L22" s="193" t="s">
        <v>163</v>
      </c>
      <c r="M22" s="192"/>
      <c r="N22" s="55"/>
      <c r="O22" s="224">
        <v>11776</v>
      </c>
      <c r="P22" s="224">
        <v>0</v>
      </c>
      <c r="Q22" s="225">
        <v>0</v>
      </c>
      <c r="R22" s="225">
        <v>0</v>
      </c>
      <c r="S22" s="225">
        <v>0</v>
      </c>
      <c r="T22" s="225">
        <v>0</v>
      </c>
      <c r="U22" s="225">
        <v>0</v>
      </c>
      <c r="V22" s="225">
        <v>0</v>
      </c>
      <c r="W22" s="225">
        <v>0</v>
      </c>
      <c r="X22" s="225">
        <v>0</v>
      </c>
      <c r="Y22" s="225">
        <v>0</v>
      </c>
      <c r="Z22" s="225">
        <v>0</v>
      </c>
      <c r="AA22" s="225">
        <v>0</v>
      </c>
      <c r="AB22" s="225"/>
      <c r="AC22" s="225"/>
      <c r="AD22" s="225"/>
      <c r="AE22" s="225"/>
      <c r="AF22" s="225"/>
      <c r="AG22" s="52">
        <f t="shared" si="3"/>
        <v>11776</v>
      </c>
    </row>
    <row r="23" spans="1:33" ht="89.25" x14ac:dyDescent="0.2">
      <c r="A23" s="43" t="s">
        <v>339</v>
      </c>
      <c r="B23" s="53" t="s">
        <v>595</v>
      </c>
      <c r="C23" s="54" t="s">
        <v>164</v>
      </c>
      <c r="D23" s="53" t="s">
        <v>165</v>
      </c>
      <c r="E23" s="190" t="s">
        <v>623</v>
      </c>
      <c r="F23" s="191" t="s">
        <v>646</v>
      </c>
      <c r="G23" s="192" t="s">
        <v>156</v>
      </c>
      <c r="H23" s="191" t="s">
        <v>613</v>
      </c>
      <c r="I23" s="184">
        <v>2023</v>
      </c>
      <c r="J23" s="191" t="s">
        <v>637</v>
      </c>
      <c r="K23" s="188" t="s">
        <v>164</v>
      </c>
      <c r="L23" s="193" t="s">
        <v>163</v>
      </c>
      <c r="M23" s="192"/>
      <c r="N23" s="55"/>
      <c r="O23" s="224">
        <v>15701.4</v>
      </c>
      <c r="P23" s="224">
        <v>0</v>
      </c>
      <c r="Q23" s="225">
        <v>0</v>
      </c>
      <c r="R23" s="225">
        <v>0</v>
      </c>
      <c r="S23" s="225">
        <v>0</v>
      </c>
      <c r="T23" s="225">
        <v>0</v>
      </c>
      <c r="U23" s="225">
        <v>0</v>
      </c>
      <c r="V23" s="225">
        <v>0</v>
      </c>
      <c r="W23" s="225">
        <v>0</v>
      </c>
      <c r="X23" s="225">
        <v>0</v>
      </c>
      <c r="Y23" s="225">
        <v>0</v>
      </c>
      <c r="Z23" s="225">
        <v>0</v>
      </c>
      <c r="AA23" s="225">
        <v>0</v>
      </c>
      <c r="AB23" s="225"/>
      <c r="AC23" s="225"/>
      <c r="AD23" s="225"/>
      <c r="AE23" s="225"/>
      <c r="AF23" s="225"/>
      <c r="AG23" s="52">
        <f t="shared" si="3"/>
        <v>15701.4</v>
      </c>
    </row>
    <row r="24" spans="1:33" ht="89.25" x14ac:dyDescent="0.2">
      <c r="A24" s="43" t="s">
        <v>340</v>
      </c>
      <c r="B24" s="53" t="s">
        <v>595</v>
      </c>
      <c r="C24" s="54" t="s">
        <v>164</v>
      </c>
      <c r="D24" s="53" t="s">
        <v>165</v>
      </c>
      <c r="E24" s="190" t="s">
        <v>624</v>
      </c>
      <c r="F24" s="191" t="s">
        <v>647</v>
      </c>
      <c r="G24" s="192" t="s">
        <v>156</v>
      </c>
      <c r="H24" s="191" t="s">
        <v>613</v>
      </c>
      <c r="I24" s="184">
        <v>2024</v>
      </c>
      <c r="J24" s="191" t="s">
        <v>637</v>
      </c>
      <c r="K24" s="188" t="s">
        <v>164</v>
      </c>
      <c r="L24" s="193" t="s">
        <v>163</v>
      </c>
      <c r="M24" s="192"/>
      <c r="N24" s="55"/>
      <c r="O24" s="224">
        <v>0</v>
      </c>
      <c r="P24" s="224">
        <v>32376</v>
      </c>
      <c r="Q24" s="225">
        <v>0</v>
      </c>
      <c r="R24" s="225">
        <v>0</v>
      </c>
      <c r="S24" s="225">
        <v>0</v>
      </c>
      <c r="T24" s="225">
        <v>0</v>
      </c>
      <c r="U24" s="225">
        <v>0</v>
      </c>
      <c r="V24" s="225">
        <v>0</v>
      </c>
      <c r="W24" s="225">
        <v>0</v>
      </c>
      <c r="X24" s="225">
        <v>0</v>
      </c>
      <c r="Y24" s="225">
        <v>0</v>
      </c>
      <c r="Z24" s="225">
        <v>0</v>
      </c>
      <c r="AA24" s="225">
        <v>0</v>
      </c>
      <c r="AB24" s="225"/>
      <c r="AC24" s="225"/>
      <c r="AD24" s="225"/>
      <c r="AE24" s="225"/>
      <c r="AF24" s="225"/>
      <c r="AG24" s="52">
        <f t="shared" si="3"/>
        <v>32376</v>
      </c>
    </row>
    <row r="25" spans="1:33" ht="89.25" x14ac:dyDescent="0.2">
      <c r="A25" s="43" t="s">
        <v>341</v>
      </c>
      <c r="B25" s="53" t="s">
        <v>595</v>
      </c>
      <c r="C25" s="54" t="s">
        <v>164</v>
      </c>
      <c r="D25" s="53" t="s">
        <v>165</v>
      </c>
      <c r="E25" s="190" t="s">
        <v>625</v>
      </c>
      <c r="F25" s="191" t="s">
        <v>648</v>
      </c>
      <c r="G25" s="192" t="s">
        <v>156</v>
      </c>
      <c r="H25" s="191" t="s">
        <v>613</v>
      </c>
      <c r="I25" s="184">
        <v>2024</v>
      </c>
      <c r="J25" s="191" t="s">
        <v>637</v>
      </c>
      <c r="K25" s="188" t="s">
        <v>164</v>
      </c>
      <c r="L25" s="193" t="s">
        <v>163</v>
      </c>
      <c r="M25" s="192"/>
      <c r="N25" s="55"/>
      <c r="O25" s="224">
        <v>0</v>
      </c>
      <c r="P25" s="224">
        <v>91584</v>
      </c>
      <c r="Q25" s="225">
        <v>0</v>
      </c>
      <c r="R25" s="225">
        <v>0</v>
      </c>
      <c r="S25" s="225">
        <v>0</v>
      </c>
      <c r="T25" s="225">
        <v>0</v>
      </c>
      <c r="U25" s="225">
        <v>0</v>
      </c>
      <c r="V25" s="225">
        <v>0</v>
      </c>
      <c r="W25" s="225">
        <v>0</v>
      </c>
      <c r="X25" s="225">
        <v>0</v>
      </c>
      <c r="Y25" s="225">
        <v>0</v>
      </c>
      <c r="Z25" s="225">
        <v>0</v>
      </c>
      <c r="AA25" s="225">
        <v>0</v>
      </c>
      <c r="AB25" s="225"/>
      <c r="AC25" s="225"/>
      <c r="AD25" s="225"/>
      <c r="AE25" s="225"/>
      <c r="AF25" s="225"/>
      <c r="AG25" s="52">
        <f t="shared" si="3"/>
        <v>91584</v>
      </c>
    </row>
    <row r="26" spans="1:33" ht="89.25" x14ac:dyDescent="0.2">
      <c r="A26" s="43" t="s">
        <v>342</v>
      </c>
      <c r="B26" s="53" t="s">
        <v>595</v>
      </c>
      <c r="C26" s="54" t="s">
        <v>164</v>
      </c>
      <c r="D26" s="53" t="s">
        <v>165</v>
      </c>
      <c r="E26" s="190" t="s">
        <v>626</v>
      </c>
      <c r="F26" s="191" t="s">
        <v>649</v>
      </c>
      <c r="G26" s="192" t="s">
        <v>156</v>
      </c>
      <c r="H26" s="191" t="s">
        <v>613</v>
      </c>
      <c r="I26" s="184">
        <v>2025</v>
      </c>
      <c r="J26" s="191" t="s">
        <v>637</v>
      </c>
      <c r="K26" s="188" t="s">
        <v>164</v>
      </c>
      <c r="L26" s="193" t="s">
        <v>163</v>
      </c>
      <c r="M26" s="192"/>
      <c r="N26" s="55"/>
      <c r="O26" s="224">
        <v>0</v>
      </c>
      <c r="P26" s="224">
        <v>0</v>
      </c>
      <c r="Q26" s="225">
        <v>121390</v>
      </c>
      <c r="R26" s="225">
        <v>0</v>
      </c>
      <c r="S26" s="225">
        <v>0</v>
      </c>
      <c r="T26" s="225">
        <v>0</v>
      </c>
      <c r="U26" s="225">
        <v>0</v>
      </c>
      <c r="V26" s="225">
        <v>0</v>
      </c>
      <c r="W26" s="225">
        <v>0</v>
      </c>
      <c r="X26" s="225">
        <v>0</v>
      </c>
      <c r="Y26" s="225">
        <v>0</v>
      </c>
      <c r="Z26" s="225">
        <v>0</v>
      </c>
      <c r="AA26" s="225">
        <v>0</v>
      </c>
      <c r="AB26" s="225"/>
      <c r="AC26" s="225"/>
      <c r="AD26" s="225"/>
      <c r="AE26" s="225"/>
      <c r="AF26" s="225"/>
      <c r="AG26" s="52">
        <f t="shared" si="3"/>
        <v>121390</v>
      </c>
    </row>
    <row r="27" spans="1:33" ht="89.25" x14ac:dyDescent="0.2">
      <c r="A27" s="43" t="s">
        <v>343</v>
      </c>
      <c r="B27" s="53" t="s">
        <v>595</v>
      </c>
      <c r="C27" s="54" t="s">
        <v>164</v>
      </c>
      <c r="D27" s="53" t="s">
        <v>165</v>
      </c>
      <c r="E27" s="190" t="s">
        <v>627</v>
      </c>
      <c r="F27" s="191" t="s">
        <v>650</v>
      </c>
      <c r="G27" s="192" t="s">
        <v>156</v>
      </c>
      <c r="H27" s="191" t="s">
        <v>613</v>
      </c>
      <c r="I27" s="184" t="s">
        <v>636</v>
      </c>
      <c r="J27" s="191" t="s">
        <v>637</v>
      </c>
      <c r="K27" s="188" t="s">
        <v>164</v>
      </c>
      <c r="L27" s="193" t="s">
        <v>163</v>
      </c>
      <c r="M27" s="192"/>
      <c r="N27" s="55"/>
      <c r="O27" s="224">
        <v>0</v>
      </c>
      <c r="P27" s="224">
        <v>0</v>
      </c>
      <c r="Q27" s="225">
        <v>179500</v>
      </c>
      <c r="R27" s="225">
        <v>179500</v>
      </c>
      <c r="S27" s="225">
        <v>179500</v>
      </c>
      <c r="T27" s="225">
        <v>0</v>
      </c>
      <c r="U27" s="225">
        <v>0</v>
      </c>
      <c r="V27" s="225">
        <v>0</v>
      </c>
      <c r="W27" s="225">
        <v>0</v>
      </c>
      <c r="X27" s="225">
        <v>0</v>
      </c>
      <c r="Y27" s="225">
        <v>0</v>
      </c>
      <c r="Z27" s="225">
        <v>0</v>
      </c>
      <c r="AA27" s="225">
        <v>0</v>
      </c>
      <c r="AB27" s="225"/>
      <c r="AC27" s="225"/>
      <c r="AD27" s="225"/>
      <c r="AE27" s="225"/>
      <c r="AF27" s="225"/>
      <c r="AG27" s="52">
        <f t="shared" si="3"/>
        <v>538500</v>
      </c>
    </row>
    <row r="28" spans="1:33" ht="89.25" x14ac:dyDescent="0.2">
      <c r="A28" s="43" t="s">
        <v>344</v>
      </c>
      <c r="B28" s="53" t="s">
        <v>595</v>
      </c>
      <c r="C28" s="54" t="s">
        <v>164</v>
      </c>
      <c r="D28" s="53" t="s">
        <v>165</v>
      </c>
      <c r="E28" s="190" t="s">
        <v>628</v>
      </c>
      <c r="F28" s="191" t="s">
        <v>651</v>
      </c>
      <c r="G28" s="192" t="s">
        <v>156</v>
      </c>
      <c r="H28" s="191" t="s">
        <v>613</v>
      </c>
      <c r="I28" s="184">
        <v>2027</v>
      </c>
      <c r="J28" s="191" t="s">
        <v>637</v>
      </c>
      <c r="K28" s="188" t="s">
        <v>164</v>
      </c>
      <c r="L28" s="193" t="s">
        <v>163</v>
      </c>
      <c r="M28" s="192"/>
      <c r="N28" s="55"/>
      <c r="O28" s="224">
        <v>0</v>
      </c>
      <c r="P28" s="224">
        <v>0</v>
      </c>
      <c r="Q28" s="225">
        <v>0</v>
      </c>
      <c r="R28" s="225">
        <v>0</v>
      </c>
      <c r="S28" s="225">
        <v>72280</v>
      </c>
      <c r="T28" s="225">
        <v>0</v>
      </c>
      <c r="U28" s="225">
        <v>0</v>
      </c>
      <c r="V28" s="225">
        <v>0</v>
      </c>
      <c r="W28" s="225">
        <v>0</v>
      </c>
      <c r="X28" s="225">
        <v>0</v>
      </c>
      <c r="Y28" s="225">
        <v>0</v>
      </c>
      <c r="Z28" s="225">
        <v>0</v>
      </c>
      <c r="AA28" s="225">
        <v>0</v>
      </c>
      <c r="AB28" s="225"/>
      <c r="AC28" s="225"/>
      <c r="AD28" s="225"/>
      <c r="AE28" s="225"/>
      <c r="AF28" s="225"/>
      <c r="AG28" s="52">
        <f t="shared" si="3"/>
        <v>72280</v>
      </c>
    </row>
    <row r="29" spans="1:33" ht="89.25" x14ac:dyDescent="0.2">
      <c r="A29" s="43" t="s">
        <v>345</v>
      </c>
      <c r="B29" s="53" t="s">
        <v>595</v>
      </c>
      <c r="C29" s="54" t="s">
        <v>164</v>
      </c>
      <c r="D29" s="53" t="s">
        <v>165</v>
      </c>
      <c r="E29" s="189" t="s">
        <v>629</v>
      </c>
      <c r="F29" s="191" t="s">
        <v>652</v>
      </c>
      <c r="G29" s="192" t="s">
        <v>156</v>
      </c>
      <c r="H29" s="191" t="s">
        <v>613</v>
      </c>
      <c r="I29" s="184">
        <v>2026</v>
      </c>
      <c r="J29" s="191" t="s">
        <v>637</v>
      </c>
      <c r="K29" s="188" t="s">
        <v>164</v>
      </c>
      <c r="L29" s="193" t="s">
        <v>163</v>
      </c>
      <c r="M29" s="192"/>
      <c r="N29" s="55"/>
      <c r="O29" s="224">
        <v>0</v>
      </c>
      <c r="P29" s="224">
        <v>0</v>
      </c>
      <c r="Q29" s="225">
        <v>0</v>
      </c>
      <c r="R29" s="225">
        <v>68710</v>
      </c>
      <c r="S29" s="225">
        <v>0</v>
      </c>
      <c r="T29" s="225">
        <v>0</v>
      </c>
      <c r="U29" s="225">
        <v>0</v>
      </c>
      <c r="V29" s="225">
        <v>0</v>
      </c>
      <c r="W29" s="225">
        <v>0</v>
      </c>
      <c r="X29" s="225">
        <v>0</v>
      </c>
      <c r="Y29" s="225">
        <v>0</v>
      </c>
      <c r="Z29" s="225">
        <v>0</v>
      </c>
      <c r="AA29" s="225">
        <v>0</v>
      </c>
      <c r="AB29" s="225"/>
      <c r="AC29" s="225"/>
      <c r="AD29" s="225"/>
      <c r="AE29" s="225"/>
      <c r="AF29" s="225"/>
      <c r="AG29" s="52">
        <f t="shared" si="3"/>
        <v>68710</v>
      </c>
    </row>
    <row r="30" spans="1:33" ht="89.25" x14ac:dyDescent="0.2">
      <c r="A30" s="43" t="s">
        <v>346</v>
      </c>
      <c r="B30" s="53" t="s">
        <v>595</v>
      </c>
      <c r="C30" s="54" t="s">
        <v>164</v>
      </c>
      <c r="D30" s="53" t="s">
        <v>165</v>
      </c>
      <c r="E30" s="188" t="s">
        <v>630</v>
      </c>
      <c r="F30" s="191" t="s">
        <v>653</v>
      </c>
      <c r="G30" s="192" t="s">
        <v>156</v>
      </c>
      <c r="H30" s="191" t="s">
        <v>613</v>
      </c>
      <c r="I30" s="197">
        <v>2027</v>
      </c>
      <c r="J30" s="191" t="s">
        <v>637</v>
      </c>
      <c r="K30" s="188" t="s">
        <v>164</v>
      </c>
      <c r="L30" s="193" t="s">
        <v>163</v>
      </c>
      <c r="M30" s="192"/>
      <c r="N30" s="55"/>
      <c r="O30" s="224">
        <v>0</v>
      </c>
      <c r="P30" s="224">
        <v>0</v>
      </c>
      <c r="Q30" s="225">
        <v>0</v>
      </c>
      <c r="R30" s="225">
        <v>0</v>
      </c>
      <c r="S30" s="225">
        <v>71310</v>
      </c>
      <c r="T30" s="225">
        <v>0</v>
      </c>
      <c r="U30" s="225">
        <v>0</v>
      </c>
      <c r="V30" s="225">
        <v>0</v>
      </c>
      <c r="W30" s="225">
        <v>0</v>
      </c>
      <c r="X30" s="225">
        <v>0</v>
      </c>
      <c r="Y30" s="225">
        <v>0</v>
      </c>
      <c r="Z30" s="225">
        <v>0</v>
      </c>
      <c r="AA30" s="225">
        <v>0</v>
      </c>
      <c r="AB30" s="225"/>
      <c r="AC30" s="225"/>
      <c r="AD30" s="225"/>
      <c r="AE30" s="225"/>
      <c r="AF30" s="225"/>
      <c r="AG30" s="52">
        <f t="shared" si="3"/>
        <v>71310</v>
      </c>
    </row>
    <row r="31" spans="1:33" ht="89.25" x14ac:dyDescent="0.2">
      <c r="A31" s="43" t="s">
        <v>347</v>
      </c>
      <c r="B31" s="53" t="s">
        <v>595</v>
      </c>
      <c r="C31" s="54" t="s">
        <v>164</v>
      </c>
      <c r="D31" s="53" t="s">
        <v>165</v>
      </c>
      <c r="E31" s="198" t="s">
        <v>631</v>
      </c>
      <c r="F31" s="191" t="s">
        <v>654</v>
      </c>
      <c r="G31" s="192" t="s">
        <v>156</v>
      </c>
      <c r="H31" s="191" t="s">
        <v>613</v>
      </c>
      <c r="I31" s="197">
        <v>2028</v>
      </c>
      <c r="J31" s="191" t="s">
        <v>637</v>
      </c>
      <c r="K31" s="188" t="s">
        <v>164</v>
      </c>
      <c r="L31" s="193" t="s">
        <v>163</v>
      </c>
      <c r="M31" s="192"/>
      <c r="N31" s="55"/>
      <c r="O31" s="224">
        <v>0</v>
      </c>
      <c r="P31" s="224">
        <v>0</v>
      </c>
      <c r="Q31" s="224">
        <v>0</v>
      </c>
      <c r="R31" s="224">
        <v>0</v>
      </c>
      <c r="S31" s="224">
        <v>0</v>
      </c>
      <c r="T31" s="224">
        <v>197820</v>
      </c>
      <c r="U31" s="225">
        <v>0</v>
      </c>
      <c r="V31" s="225">
        <v>0</v>
      </c>
      <c r="W31" s="225">
        <v>0</v>
      </c>
      <c r="X31" s="225">
        <v>0</v>
      </c>
      <c r="Y31" s="225">
        <v>0</v>
      </c>
      <c r="Z31" s="225">
        <v>0</v>
      </c>
      <c r="AA31" s="225">
        <v>0</v>
      </c>
      <c r="AB31" s="225"/>
      <c r="AC31" s="225"/>
      <c r="AD31" s="225"/>
      <c r="AE31" s="225"/>
      <c r="AF31" s="225"/>
      <c r="AG31" s="52">
        <f t="shared" si="3"/>
        <v>197820</v>
      </c>
    </row>
    <row r="32" spans="1:33" ht="89.25" x14ac:dyDescent="0.2">
      <c r="A32" s="43" t="s">
        <v>348</v>
      </c>
      <c r="B32" s="53" t="s">
        <v>595</v>
      </c>
      <c r="C32" s="54" t="s">
        <v>164</v>
      </c>
      <c r="D32" s="53" t="s">
        <v>165</v>
      </c>
      <c r="E32" s="198" t="s">
        <v>632</v>
      </c>
      <c r="F32" s="191" t="s">
        <v>655</v>
      </c>
      <c r="G32" s="192" t="s">
        <v>156</v>
      </c>
      <c r="H32" s="191" t="s">
        <v>613</v>
      </c>
      <c r="I32" s="197" t="s">
        <v>635</v>
      </c>
      <c r="J32" s="191" t="s">
        <v>637</v>
      </c>
      <c r="K32" s="188" t="s">
        <v>164</v>
      </c>
      <c r="L32" s="193" t="s">
        <v>163</v>
      </c>
      <c r="M32" s="192"/>
      <c r="N32" s="55"/>
      <c r="O32" s="224">
        <v>0</v>
      </c>
      <c r="P32" s="224">
        <v>0</v>
      </c>
      <c r="Q32" s="224">
        <v>0</v>
      </c>
      <c r="R32" s="224">
        <v>0</v>
      </c>
      <c r="S32" s="224">
        <v>0</v>
      </c>
      <c r="T32" s="224">
        <v>112940</v>
      </c>
      <c r="U32" s="225">
        <v>100000</v>
      </c>
      <c r="V32" s="225">
        <v>0</v>
      </c>
      <c r="W32" s="225">
        <v>0</v>
      </c>
      <c r="X32" s="225">
        <v>0</v>
      </c>
      <c r="Y32" s="225">
        <v>0</v>
      </c>
      <c r="Z32" s="225">
        <v>0</v>
      </c>
      <c r="AA32" s="225">
        <v>0</v>
      </c>
      <c r="AB32" s="225"/>
      <c r="AC32" s="225"/>
      <c r="AD32" s="225"/>
      <c r="AE32" s="225"/>
      <c r="AF32" s="225"/>
      <c r="AG32" s="52">
        <f t="shared" si="3"/>
        <v>212940</v>
      </c>
    </row>
    <row r="33" spans="1:33" ht="89.25" x14ac:dyDescent="0.2">
      <c r="A33" s="43" t="s">
        <v>349</v>
      </c>
      <c r="B33" s="53" t="s">
        <v>595</v>
      </c>
      <c r="C33" s="54" t="s">
        <v>164</v>
      </c>
      <c r="D33" s="53" t="s">
        <v>162</v>
      </c>
      <c r="E33" s="198" t="s">
        <v>633</v>
      </c>
      <c r="F33" s="191" t="s">
        <v>656</v>
      </c>
      <c r="G33" s="192" t="s">
        <v>161</v>
      </c>
      <c r="H33" s="191" t="s">
        <v>613</v>
      </c>
      <c r="I33" s="197">
        <v>2028</v>
      </c>
      <c r="J33" s="191" t="s">
        <v>638</v>
      </c>
      <c r="K33" s="188" t="s">
        <v>164</v>
      </c>
      <c r="L33" s="193" t="s">
        <v>163</v>
      </c>
      <c r="M33" s="192"/>
      <c r="N33" s="55"/>
      <c r="O33" s="224">
        <v>0</v>
      </c>
      <c r="P33" s="224">
        <v>0</v>
      </c>
      <c r="Q33" s="224">
        <v>0</v>
      </c>
      <c r="R33" s="224">
        <v>0</v>
      </c>
      <c r="S33" s="224">
        <v>0</v>
      </c>
      <c r="T33" s="224">
        <v>80090</v>
      </c>
      <c r="U33" s="225">
        <v>0</v>
      </c>
      <c r="V33" s="225">
        <v>0</v>
      </c>
      <c r="W33" s="225">
        <v>0</v>
      </c>
      <c r="X33" s="225">
        <v>0</v>
      </c>
      <c r="Y33" s="225">
        <v>0</v>
      </c>
      <c r="Z33" s="225">
        <v>0</v>
      </c>
      <c r="AA33" s="225">
        <v>0</v>
      </c>
      <c r="AB33" s="225"/>
      <c r="AC33" s="225"/>
      <c r="AD33" s="225"/>
      <c r="AE33" s="225"/>
      <c r="AF33" s="225"/>
      <c r="AG33" s="52">
        <f t="shared" si="3"/>
        <v>80090</v>
      </c>
    </row>
    <row r="34" spans="1:33" ht="89.25" x14ac:dyDescent="0.2">
      <c r="A34" s="43" t="s">
        <v>350</v>
      </c>
      <c r="B34" s="53" t="s">
        <v>595</v>
      </c>
      <c r="C34" s="54" t="s">
        <v>164</v>
      </c>
      <c r="D34" s="53" t="s">
        <v>162</v>
      </c>
      <c r="E34" s="198" t="s">
        <v>634</v>
      </c>
      <c r="F34" s="191" t="s">
        <v>657</v>
      </c>
      <c r="G34" s="192" t="s">
        <v>161</v>
      </c>
      <c r="H34" s="191" t="s">
        <v>613</v>
      </c>
      <c r="I34" s="197">
        <v>2028</v>
      </c>
      <c r="J34" s="191" t="s">
        <v>638</v>
      </c>
      <c r="K34" s="188" t="s">
        <v>164</v>
      </c>
      <c r="L34" s="193" t="s">
        <v>163</v>
      </c>
      <c r="M34" s="192"/>
      <c r="N34" s="55"/>
      <c r="O34" s="224">
        <v>0</v>
      </c>
      <c r="P34" s="224">
        <v>0</v>
      </c>
      <c r="Q34" s="224">
        <v>0</v>
      </c>
      <c r="R34" s="224">
        <v>0</v>
      </c>
      <c r="S34" s="224">
        <v>0</v>
      </c>
      <c r="T34" s="224">
        <v>55270</v>
      </c>
      <c r="U34" s="225">
        <v>0</v>
      </c>
      <c r="V34" s="225">
        <v>0</v>
      </c>
      <c r="W34" s="225">
        <v>0</v>
      </c>
      <c r="X34" s="225">
        <v>0</v>
      </c>
      <c r="Y34" s="225">
        <v>0</v>
      </c>
      <c r="Z34" s="225">
        <v>0</v>
      </c>
      <c r="AA34" s="225">
        <v>0</v>
      </c>
      <c r="AB34" s="225"/>
      <c r="AC34" s="225"/>
      <c r="AD34" s="225"/>
      <c r="AE34" s="225"/>
      <c r="AF34" s="225"/>
      <c r="AG34" s="52">
        <f t="shared" si="3"/>
        <v>55270</v>
      </c>
    </row>
    <row r="35" spans="1:33" x14ac:dyDescent="0.2">
      <c r="A35" s="43" t="s">
        <v>351</v>
      </c>
      <c r="B35" s="53"/>
      <c r="C35" s="54"/>
      <c r="D35" s="53"/>
      <c r="E35" s="198"/>
      <c r="F35" s="191"/>
      <c r="G35" s="192"/>
      <c r="H35" s="191"/>
      <c r="I35" s="197"/>
      <c r="J35" s="191"/>
      <c r="K35" s="188"/>
      <c r="L35" s="193"/>
      <c r="M35" s="192"/>
      <c r="N35" s="55"/>
      <c r="O35" s="224"/>
      <c r="P35" s="224"/>
      <c r="Q35" s="224"/>
      <c r="R35" s="224"/>
      <c r="S35" s="224"/>
      <c r="T35" s="224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52">
        <f t="shared" si="3"/>
        <v>0</v>
      </c>
    </row>
    <row r="36" spans="1:33" x14ac:dyDescent="0.2">
      <c r="A36" s="43" t="s">
        <v>352</v>
      </c>
      <c r="B36" s="53"/>
      <c r="C36" s="54"/>
      <c r="D36" s="53"/>
      <c r="E36" s="198"/>
      <c r="F36" s="191"/>
      <c r="G36" s="192"/>
      <c r="H36" s="191"/>
      <c r="I36" s="197"/>
      <c r="J36" s="191"/>
      <c r="K36" s="188"/>
      <c r="L36" s="193"/>
      <c r="M36" s="192"/>
      <c r="N36" s="55"/>
      <c r="O36" s="224"/>
      <c r="P36" s="224"/>
      <c r="Q36" s="224"/>
      <c r="R36" s="224"/>
      <c r="S36" s="224"/>
      <c r="T36" s="224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52">
        <f t="shared" si="3"/>
        <v>0</v>
      </c>
    </row>
    <row r="37" spans="1:33" x14ac:dyDescent="0.2">
      <c r="A37" s="43" t="s">
        <v>353</v>
      </c>
      <c r="B37" s="53"/>
      <c r="C37" s="54"/>
      <c r="D37" s="53"/>
      <c r="E37" s="198"/>
      <c r="F37" s="191"/>
      <c r="G37" s="192"/>
      <c r="H37" s="191"/>
      <c r="I37" s="197"/>
      <c r="J37" s="191"/>
      <c r="K37" s="188"/>
      <c r="L37" s="193"/>
      <c r="M37" s="192"/>
      <c r="N37" s="55"/>
      <c r="O37" s="224"/>
      <c r="P37" s="224"/>
      <c r="Q37" s="224"/>
      <c r="R37" s="224"/>
      <c r="S37" s="224"/>
      <c r="T37" s="224"/>
      <c r="U37" s="225"/>
      <c r="V37" s="225"/>
      <c r="W37" s="225"/>
      <c r="X37" s="225"/>
      <c r="Y37" s="225"/>
      <c r="Z37" s="225"/>
      <c r="AA37" s="225"/>
      <c r="AB37" s="225"/>
      <c r="AC37" s="225"/>
      <c r="AD37" s="225"/>
      <c r="AE37" s="225"/>
      <c r="AF37" s="225"/>
      <c r="AG37" s="52">
        <f t="shared" si="3"/>
        <v>0</v>
      </c>
    </row>
    <row r="38" spans="1:33" x14ac:dyDescent="0.2">
      <c r="A38" s="43" t="s">
        <v>354</v>
      </c>
      <c r="B38" s="53"/>
      <c r="C38" s="54"/>
      <c r="D38" s="53"/>
      <c r="E38" s="198"/>
      <c r="F38" s="191"/>
      <c r="G38" s="192"/>
      <c r="H38" s="191"/>
      <c r="I38" s="197"/>
      <c r="J38" s="191"/>
      <c r="K38" s="188"/>
      <c r="L38" s="193"/>
      <c r="M38" s="192"/>
      <c r="N38" s="55"/>
      <c r="O38" s="224"/>
      <c r="P38" s="224"/>
      <c r="Q38" s="224"/>
      <c r="R38" s="224"/>
      <c r="S38" s="224"/>
      <c r="T38" s="224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52">
        <f t="shared" si="3"/>
        <v>0</v>
      </c>
    </row>
    <row r="39" spans="1:33" x14ac:dyDescent="0.2">
      <c r="A39" s="43" t="s">
        <v>355</v>
      </c>
      <c r="B39" s="53"/>
      <c r="C39" s="54"/>
      <c r="D39" s="53"/>
      <c r="E39" s="198"/>
      <c r="F39" s="191"/>
      <c r="G39" s="192"/>
      <c r="H39" s="191"/>
      <c r="I39" s="197"/>
      <c r="J39" s="191"/>
      <c r="K39" s="188"/>
      <c r="L39" s="193"/>
      <c r="M39" s="192"/>
      <c r="N39" s="55"/>
      <c r="O39" s="224"/>
      <c r="P39" s="224"/>
      <c r="Q39" s="224"/>
      <c r="R39" s="224"/>
      <c r="S39" s="224"/>
      <c r="T39" s="224"/>
      <c r="U39" s="225"/>
      <c r="V39" s="225"/>
      <c r="W39" s="225"/>
      <c r="X39" s="225"/>
      <c r="Y39" s="225"/>
      <c r="Z39" s="225"/>
      <c r="AA39" s="225"/>
      <c r="AB39" s="225"/>
      <c r="AC39" s="225"/>
      <c r="AD39" s="225"/>
      <c r="AE39" s="225"/>
      <c r="AF39" s="225"/>
      <c r="AG39" s="52">
        <f t="shared" si="3"/>
        <v>0</v>
      </c>
    </row>
    <row r="40" spans="1:33" x14ac:dyDescent="0.2">
      <c r="A40" s="43" t="s">
        <v>356</v>
      </c>
      <c r="B40" s="53"/>
      <c r="C40" s="54"/>
      <c r="D40" s="53"/>
      <c r="E40" s="198"/>
      <c r="F40" s="191"/>
      <c r="G40" s="192"/>
      <c r="H40" s="191"/>
      <c r="I40" s="197"/>
      <c r="J40" s="191"/>
      <c r="K40" s="188"/>
      <c r="L40" s="193"/>
      <c r="M40" s="192"/>
      <c r="N40" s="55"/>
      <c r="O40" s="224"/>
      <c r="P40" s="224"/>
      <c r="Q40" s="224"/>
      <c r="R40" s="224"/>
      <c r="S40" s="224"/>
      <c r="T40" s="224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52">
        <f t="shared" si="3"/>
        <v>0</v>
      </c>
    </row>
    <row r="41" spans="1:33" x14ac:dyDescent="0.2">
      <c r="A41" s="43" t="s">
        <v>357</v>
      </c>
      <c r="B41" s="53"/>
      <c r="C41" s="54"/>
      <c r="D41" s="53"/>
      <c r="E41" s="198"/>
      <c r="F41" s="191"/>
      <c r="G41" s="192"/>
      <c r="H41" s="191"/>
      <c r="I41" s="197"/>
      <c r="J41" s="191"/>
      <c r="K41" s="188"/>
      <c r="L41" s="193"/>
      <c r="M41" s="192"/>
      <c r="N41" s="55"/>
      <c r="O41" s="224"/>
      <c r="P41" s="224"/>
      <c r="Q41" s="224"/>
      <c r="R41" s="224"/>
      <c r="S41" s="224"/>
      <c r="T41" s="224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52">
        <f t="shared" si="3"/>
        <v>0</v>
      </c>
    </row>
    <row r="42" spans="1:33" x14ac:dyDescent="0.2">
      <c r="A42" s="43" t="s">
        <v>358</v>
      </c>
      <c r="B42" s="53"/>
      <c r="C42" s="54"/>
      <c r="D42" s="53"/>
      <c r="E42" s="198"/>
      <c r="F42" s="191"/>
      <c r="G42" s="192"/>
      <c r="H42" s="191"/>
      <c r="I42" s="197"/>
      <c r="J42" s="191"/>
      <c r="K42" s="188"/>
      <c r="L42" s="193"/>
      <c r="M42" s="192"/>
      <c r="N42" s="55"/>
      <c r="O42" s="224"/>
      <c r="P42" s="224"/>
      <c r="Q42" s="224"/>
      <c r="R42" s="224"/>
      <c r="S42" s="224"/>
      <c r="T42" s="224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52">
        <f t="shared" si="3"/>
        <v>0</v>
      </c>
    </row>
    <row r="43" spans="1:33" x14ac:dyDescent="0.2">
      <c r="A43" s="43" t="s">
        <v>359</v>
      </c>
      <c r="B43" s="53"/>
      <c r="C43" s="54"/>
      <c r="D43" s="53"/>
      <c r="E43" s="198"/>
      <c r="F43" s="191"/>
      <c r="G43" s="192"/>
      <c r="H43" s="191"/>
      <c r="I43" s="197"/>
      <c r="J43" s="191"/>
      <c r="K43" s="188"/>
      <c r="L43" s="193"/>
      <c r="M43" s="192"/>
      <c r="N43" s="55"/>
      <c r="O43" s="224"/>
      <c r="P43" s="224"/>
      <c r="Q43" s="224"/>
      <c r="R43" s="224"/>
      <c r="S43" s="224"/>
      <c r="T43" s="224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52">
        <f t="shared" si="3"/>
        <v>0</v>
      </c>
    </row>
    <row r="44" spans="1:33" x14ac:dyDescent="0.2">
      <c r="A44" s="43" t="s">
        <v>360</v>
      </c>
      <c r="B44" s="53"/>
      <c r="C44" s="54"/>
      <c r="D44" s="53"/>
      <c r="E44" s="198"/>
      <c r="F44" s="191"/>
      <c r="G44" s="192"/>
      <c r="H44" s="191"/>
      <c r="I44" s="197"/>
      <c r="J44" s="191"/>
      <c r="K44" s="188"/>
      <c r="L44" s="193"/>
      <c r="M44" s="192"/>
      <c r="N44" s="55"/>
      <c r="O44" s="224"/>
      <c r="P44" s="224"/>
      <c r="Q44" s="224"/>
      <c r="R44" s="224"/>
      <c r="S44" s="224"/>
      <c r="T44" s="224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52">
        <f t="shared" si="3"/>
        <v>0</v>
      </c>
    </row>
    <row r="45" spans="1:33" x14ac:dyDescent="0.2">
      <c r="A45" s="43" t="s">
        <v>361</v>
      </c>
      <c r="B45" s="53"/>
      <c r="C45" s="54"/>
      <c r="D45" s="53"/>
      <c r="E45" s="198"/>
      <c r="F45" s="191"/>
      <c r="G45" s="192"/>
      <c r="H45" s="191"/>
      <c r="I45" s="197"/>
      <c r="J45" s="191"/>
      <c r="K45" s="188"/>
      <c r="L45" s="193"/>
      <c r="M45" s="192"/>
      <c r="N45" s="55"/>
      <c r="O45" s="224"/>
      <c r="P45" s="224"/>
      <c r="Q45" s="224"/>
      <c r="R45" s="224"/>
      <c r="S45" s="224"/>
      <c r="T45" s="224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52">
        <f t="shared" si="3"/>
        <v>0</v>
      </c>
    </row>
    <row r="46" spans="1:33" x14ac:dyDescent="0.2">
      <c r="A46" s="43" t="s">
        <v>362</v>
      </c>
      <c r="B46" s="53"/>
      <c r="C46" s="54"/>
      <c r="D46" s="53"/>
      <c r="E46" s="198"/>
      <c r="F46" s="191"/>
      <c r="G46" s="192"/>
      <c r="H46" s="191"/>
      <c r="I46" s="197"/>
      <c r="J46" s="191"/>
      <c r="K46" s="188"/>
      <c r="L46" s="193"/>
      <c r="M46" s="192"/>
      <c r="N46" s="55"/>
      <c r="O46" s="224"/>
      <c r="P46" s="224"/>
      <c r="Q46" s="224"/>
      <c r="R46" s="224"/>
      <c r="S46" s="224"/>
      <c r="T46" s="224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52">
        <f t="shared" si="3"/>
        <v>0</v>
      </c>
    </row>
    <row r="47" spans="1:33" x14ac:dyDescent="0.2">
      <c r="A47" s="43" t="s">
        <v>363</v>
      </c>
      <c r="B47" s="53"/>
      <c r="C47" s="54"/>
      <c r="D47" s="53"/>
      <c r="E47" s="190"/>
      <c r="F47" s="191"/>
      <c r="G47" s="192"/>
      <c r="H47" s="191"/>
      <c r="I47" s="184"/>
      <c r="J47" s="191"/>
      <c r="K47" s="188"/>
      <c r="L47" s="193"/>
      <c r="M47" s="192">
        <f t="shared" si="2"/>
        <v>0</v>
      </c>
      <c r="N47" s="55"/>
      <c r="O47" s="224"/>
      <c r="P47" s="224"/>
      <c r="Q47" s="224"/>
      <c r="R47" s="224"/>
      <c r="S47" s="224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52">
        <f t="shared" si="3"/>
        <v>0</v>
      </c>
    </row>
    <row r="48" spans="1:33" x14ac:dyDescent="0.2">
      <c r="A48" s="43" t="s">
        <v>364</v>
      </c>
      <c r="B48" s="53"/>
      <c r="C48" s="54"/>
      <c r="D48" s="53"/>
      <c r="E48" s="190"/>
      <c r="F48" s="191"/>
      <c r="G48" s="192"/>
      <c r="H48" s="191"/>
      <c r="I48" s="184"/>
      <c r="J48" s="191"/>
      <c r="K48" s="188"/>
      <c r="L48" s="193"/>
      <c r="M48" s="192">
        <f t="shared" si="2"/>
        <v>0</v>
      </c>
      <c r="N48" s="55"/>
      <c r="O48" s="224"/>
      <c r="P48" s="224"/>
      <c r="Q48" s="224"/>
      <c r="R48" s="224"/>
      <c r="S48" s="224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52">
        <f t="shared" si="3"/>
        <v>0</v>
      </c>
    </row>
    <row r="49" spans="1:33" x14ac:dyDescent="0.2">
      <c r="A49" s="424" t="s">
        <v>170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52">
        <f t="shared" ref="M49:O49" si="4">M4+M7</f>
        <v>2510516.5627737422</v>
      </c>
      <c r="N49" s="52">
        <f t="shared" si="4"/>
        <v>0</v>
      </c>
      <c r="O49" s="52">
        <f t="shared" si="4"/>
        <v>27477.4</v>
      </c>
      <c r="P49" s="52">
        <f>P4+P7</f>
        <v>126792.01471157232</v>
      </c>
      <c r="Q49" s="52">
        <f t="shared" ref="Q49:AF49" si="5">Q4+Q7</f>
        <v>1157566.7082873862</v>
      </c>
      <c r="R49" s="52">
        <f t="shared" si="5"/>
        <v>1103202.5203942945</v>
      </c>
      <c r="S49" s="52">
        <f t="shared" si="5"/>
        <v>770695.05314069986</v>
      </c>
      <c r="T49" s="52">
        <f t="shared" si="5"/>
        <v>446120</v>
      </c>
      <c r="U49" s="52">
        <f t="shared" si="5"/>
        <v>449980.30346604728</v>
      </c>
      <c r="V49" s="52">
        <f t="shared" si="5"/>
        <v>0</v>
      </c>
      <c r="W49" s="52">
        <f t="shared" si="5"/>
        <v>0</v>
      </c>
      <c r="X49" s="52">
        <f t="shared" si="5"/>
        <v>0</v>
      </c>
      <c r="Y49" s="52">
        <f t="shared" si="5"/>
        <v>0</v>
      </c>
      <c r="Z49" s="52">
        <f t="shared" si="5"/>
        <v>0</v>
      </c>
      <c r="AA49" s="52">
        <f t="shared" si="5"/>
        <v>0</v>
      </c>
      <c r="AB49" s="52">
        <f t="shared" si="5"/>
        <v>0</v>
      </c>
      <c r="AC49" s="52">
        <f t="shared" si="5"/>
        <v>0</v>
      </c>
      <c r="AD49" s="52">
        <f t="shared" si="5"/>
        <v>0</v>
      </c>
      <c r="AE49" s="52">
        <f t="shared" si="5"/>
        <v>0</v>
      </c>
      <c r="AF49" s="52">
        <f t="shared" si="5"/>
        <v>0</v>
      </c>
      <c r="AG49" s="52">
        <f>AG4+AG7</f>
        <v>4081833.9999999995</v>
      </c>
    </row>
  </sheetData>
  <autoFilter ref="A2:AG49"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</autoFilter>
  <mergeCells count="18">
    <mergeCell ref="B4:L4"/>
    <mergeCell ref="B7:L7"/>
    <mergeCell ref="A49:L49"/>
    <mergeCell ref="J2:J3"/>
    <mergeCell ref="K2:K3"/>
    <mergeCell ref="L2:L3"/>
    <mergeCell ref="M2:M3"/>
    <mergeCell ref="N2:AG2"/>
    <mergeCell ref="A1:AG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33" type="noConversion"/>
  <dataValidations count="5">
    <dataValidation type="list" allowBlank="1" showInputMessage="1" showErrorMessage="1" sqref="G5:G6 G8:G48">
      <formula1>"Сети, Объект"</formula1>
    </dataValidation>
    <dataValidation type="list" allowBlank="1" showInputMessage="1" showErrorMessage="1" sqref="B5:B6 B8:B48">
      <formula1>РСО1</formula1>
    </dataValidation>
    <dataValidation type="list" allowBlank="1" showInputMessage="1" showErrorMessage="1" sqref="C5:C6 C8:C48">
      <formula1>Группа1</formula1>
    </dataValidation>
    <dataValidation type="list" allowBlank="1" showInputMessage="1" showErrorMessage="1" sqref="D5:D6 D8:D48">
      <formula1>Сроки1</formula1>
    </dataValidation>
    <dataValidation type="list" allowBlank="1" showInputMessage="1" showErrorMessage="1" sqref="L5:L6 L8:L48">
      <formula1>Фи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Z31"/>
  <sheetViews>
    <sheetView topLeftCell="A40" zoomScale="70" zoomScaleNormal="70" workbookViewId="0">
      <selection activeCell="K46" sqref="K45:K46"/>
    </sheetView>
  </sheetViews>
  <sheetFormatPr defaultColWidth="8.83203125" defaultRowHeight="15" outlineLevelRow="1" x14ac:dyDescent="0.25"/>
  <cols>
    <col min="1" max="1" width="7.33203125" style="31" customWidth="1"/>
    <col min="2" max="2" width="19.5" style="31" customWidth="1"/>
    <col min="3" max="3" width="25.5" style="31" customWidth="1"/>
    <col min="4" max="4" width="19.5" style="31" customWidth="1"/>
    <col min="5" max="5" width="31.6640625" style="31" customWidth="1"/>
    <col min="6" max="6" width="27.33203125" style="31" customWidth="1"/>
    <col min="7" max="7" width="25.6640625" style="31" customWidth="1"/>
    <col min="8" max="8" width="23.6640625" style="31" customWidth="1"/>
    <col min="9" max="10" width="14.6640625" style="31" customWidth="1"/>
    <col min="11" max="11" width="16" style="31" customWidth="1"/>
    <col min="12" max="24" width="14.6640625" style="40" customWidth="1"/>
    <col min="25" max="25" width="13.33203125" style="40" customWidth="1"/>
    <col min="26" max="26" width="13.33203125" style="32" hidden="1" customWidth="1"/>
    <col min="27" max="27" width="8.83203125" style="31" customWidth="1"/>
    <col min="28" max="16384" width="8.83203125" style="31"/>
  </cols>
  <sheetData>
    <row r="1" spans="1:26" ht="31.5" customHeight="1" x14ac:dyDescent="0.25">
      <c r="A1" s="433" t="s">
        <v>36</v>
      </c>
      <c r="B1" s="433" t="s">
        <v>140</v>
      </c>
      <c r="C1" s="433" t="s">
        <v>141</v>
      </c>
      <c r="D1" s="433" t="s">
        <v>142</v>
      </c>
      <c r="E1" s="427" t="s">
        <v>143</v>
      </c>
      <c r="F1" s="427" t="s">
        <v>144</v>
      </c>
      <c r="G1" s="427" t="s">
        <v>145</v>
      </c>
      <c r="H1" s="427" t="s">
        <v>176</v>
      </c>
      <c r="I1" s="427" t="s">
        <v>147</v>
      </c>
      <c r="J1" s="427" t="s">
        <v>148</v>
      </c>
      <c r="K1" s="428" t="s">
        <v>390</v>
      </c>
      <c r="L1" s="429" t="s">
        <v>311</v>
      </c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1"/>
      <c r="Z1" s="426" t="s">
        <v>150</v>
      </c>
    </row>
    <row r="2" spans="1:26" ht="33.75" customHeight="1" x14ac:dyDescent="0.25">
      <c r="A2" s="433"/>
      <c r="B2" s="433"/>
      <c r="C2" s="433"/>
      <c r="D2" s="433"/>
      <c r="E2" s="427"/>
      <c r="F2" s="427"/>
      <c r="G2" s="427"/>
      <c r="H2" s="427"/>
      <c r="I2" s="427"/>
      <c r="J2" s="427"/>
      <c r="K2" s="428"/>
      <c r="L2" s="5">
        <v>2023</v>
      </c>
      <c r="M2" s="5">
        <v>2024</v>
      </c>
      <c r="N2" s="5">
        <v>2025</v>
      </c>
      <c r="O2" s="5">
        <v>2026</v>
      </c>
      <c r="P2" s="5">
        <v>2027</v>
      </c>
      <c r="Q2" s="5">
        <v>2028</v>
      </c>
      <c r="R2" s="5">
        <v>2029</v>
      </c>
      <c r="S2" s="5">
        <v>2030</v>
      </c>
      <c r="T2" s="5">
        <v>2031</v>
      </c>
      <c r="U2" s="5">
        <v>2032</v>
      </c>
      <c r="V2" s="5">
        <v>2033</v>
      </c>
      <c r="W2" s="5">
        <v>2034</v>
      </c>
      <c r="X2" s="5">
        <v>2035</v>
      </c>
      <c r="Y2" s="113" t="s">
        <v>151</v>
      </c>
      <c r="Z2" s="426"/>
    </row>
    <row r="3" spans="1:26" x14ac:dyDescent="0.25">
      <c r="A3" s="114">
        <v>1</v>
      </c>
      <c r="B3" s="427" t="s">
        <v>152</v>
      </c>
      <c r="C3" s="427"/>
      <c r="D3" s="427"/>
      <c r="E3" s="427"/>
      <c r="F3" s="427"/>
      <c r="G3" s="427"/>
      <c r="H3" s="427"/>
      <c r="I3" s="427"/>
      <c r="J3" s="427"/>
      <c r="K3" s="162">
        <f t="shared" ref="K3:O3" si="0">SUM(K4:K4)</f>
        <v>687353.5922133181</v>
      </c>
      <c r="L3" s="163">
        <f t="shared" si="0"/>
        <v>0</v>
      </c>
      <c r="M3" s="163">
        <f t="shared" si="0"/>
        <v>45698.32619804838</v>
      </c>
      <c r="N3" s="163">
        <f t="shared" si="0"/>
        <v>47578.121510351535</v>
      </c>
      <c r="O3" s="163">
        <f t="shared" si="0"/>
        <v>49481.246370765599</v>
      </c>
      <c r="P3" s="163">
        <f t="shared" ref="P3:X3" si="1">SUM(P4:P4)</f>
        <v>51460.496225596224</v>
      </c>
      <c r="Q3" s="163">
        <f t="shared" si="1"/>
        <v>53518.916074620072</v>
      </c>
      <c r="R3" s="163">
        <f t="shared" si="1"/>
        <v>55659.672717604881</v>
      </c>
      <c r="S3" s="163">
        <f t="shared" si="1"/>
        <v>57886.059626309077</v>
      </c>
      <c r="T3" s="163">
        <f t="shared" si="1"/>
        <v>60201.502011361437</v>
      </c>
      <c r="U3" s="163">
        <f t="shared" si="1"/>
        <v>62609.562091815897</v>
      </c>
      <c r="V3" s="163">
        <f t="shared" si="1"/>
        <v>65113.944575488531</v>
      </c>
      <c r="W3" s="163">
        <f t="shared" si="1"/>
        <v>67718.502358508078</v>
      </c>
      <c r="X3" s="163">
        <f t="shared" si="1"/>
        <v>70427.242452848397</v>
      </c>
      <c r="Y3" s="165">
        <f>SUM(Y4:Y4)</f>
        <v>687353.5922133181</v>
      </c>
      <c r="Z3" s="161"/>
    </row>
    <row r="4" spans="1:26" ht="90" customHeight="1" x14ac:dyDescent="0.25">
      <c r="A4" s="117" t="s">
        <v>115</v>
      </c>
      <c r="B4" s="53" t="s">
        <v>575</v>
      </c>
      <c r="C4" s="54" t="s">
        <v>153</v>
      </c>
      <c r="D4" s="53" t="s">
        <v>165</v>
      </c>
      <c r="E4" s="182" t="s">
        <v>447</v>
      </c>
      <c r="F4" s="118" t="s">
        <v>448</v>
      </c>
      <c r="G4" s="182" t="s">
        <v>449</v>
      </c>
      <c r="H4" s="182" t="s">
        <v>450</v>
      </c>
      <c r="I4" s="59" t="s">
        <v>310</v>
      </c>
      <c r="J4" s="182" t="s">
        <v>451</v>
      </c>
      <c r="K4" s="183">
        <f>Y4</f>
        <v>687353.5922133181</v>
      </c>
      <c r="L4" s="164">
        <v>0</v>
      </c>
      <c r="M4" s="164">
        <v>45698.32619804838</v>
      </c>
      <c r="N4" s="164">
        <v>47578.121510351535</v>
      </c>
      <c r="O4" s="164">
        <v>49481.246370765599</v>
      </c>
      <c r="P4" s="164">
        <v>51460.496225596224</v>
      </c>
      <c r="Q4" s="164">
        <v>53518.916074620072</v>
      </c>
      <c r="R4" s="164">
        <v>55659.672717604881</v>
      </c>
      <c r="S4" s="164">
        <v>57886.059626309077</v>
      </c>
      <c r="T4" s="164">
        <v>60201.502011361437</v>
      </c>
      <c r="U4" s="164">
        <v>62609.562091815897</v>
      </c>
      <c r="V4" s="164">
        <v>65113.944575488531</v>
      </c>
      <c r="W4" s="164">
        <v>67718.502358508078</v>
      </c>
      <c r="X4" s="164">
        <v>70427.242452848397</v>
      </c>
      <c r="Y4" s="135">
        <f>SUM(L4:X4)</f>
        <v>687353.5922133181</v>
      </c>
      <c r="Z4" s="55" t="s">
        <v>156</v>
      </c>
    </row>
    <row r="5" spans="1:26" ht="30.75" customHeight="1" outlineLevel="1" x14ac:dyDescent="0.25">
      <c r="A5" s="114">
        <v>2</v>
      </c>
      <c r="B5" s="427" t="s">
        <v>304</v>
      </c>
      <c r="C5" s="427"/>
      <c r="D5" s="427"/>
      <c r="E5" s="427"/>
      <c r="F5" s="427"/>
      <c r="G5" s="427"/>
      <c r="H5" s="427"/>
      <c r="I5" s="427"/>
      <c r="J5" s="427"/>
      <c r="K5" s="162">
        <f t="shared" ref="K5:O5" si="2">SUM(K6:K30)</f>
        <v>1095031.8667359566</v>
      </c>
      <c r="L5" s="163">
        <f t="shared" si="2"/>
        <v>47711</v>
      </c>
      <c r="M5" s="163">
        <f t="shared" si="2"/>
        <v>266361.5899567405</v>
      </c>
      <c r="N5" s="163">
        <f t="shared" si="2"/>
        <v>301046.56317544449</v>
      </c>
      <c r="O5" s="163">
        <f t="shared" si="2"/>
        <v>255178.70692404348</v>
      </c>
      <c r="P5" s="163">
        <f t="shared" ref="P5:X5" si="3">SUM(P6:P30)</f>
        <v>52963.16142289502</v>
      </c>
      <c r="Q5" s="163">
        <f t="shared" si="3"/>
        <v>53925.876773684831</v>
      </c>
      <c r="R5" s="163">
        <f t="shared" si="3"/>
        <v>56082.911844632232</v>
      </c>
      <c r="S5" s="163">
        <f t="shared" si="3"/>
        <v>58326.228318417525</v>
      </c>
      <c r="T5" s="163">
        <f t="shared" si="3"/>
        <v>3435.8283200985475</v>
      </c>
      <c r="U5" s="163">
        <f>SUM(U6:U30)</f>
        <v>0</v>
      </c>
      <c r="V5" s="163">
        <f t="shared" si="3"/>
        <v>0</v>
      </c>
      <c r="W5" s="163">
        <f t="shared" si="3"/>
        <v>0</v>
      </c>
      <c r="X5" s="163">
        <f t="shared" si="3"/>
        <v>0</v>
      </c>
      <c r="Y5" s="116">
        <f>SUM(Y6:Y30)</f>
        <v>1095031.8667359566</v>
      </c>
      <c r="Z5" s="55"/>
    </row>
    <row r="6" spans="1:26" ht="102" outlineLevel="1" x14ac:dyDescent="0.25">
      <c r="A6" s="43" t="s">
        <v>119</v>
      </c>
      <c r="B6" s="53" t="s">
        <v>575</v>
      </c>
      <c r="C6" s="54" t="s">
        <v>164</v>
      </c>
      <c r="D6" s="53" t="s">
        <v>162</v>
      </c>
      <c r="E6" s="182" t="s">
        <v>452</v>
      </c>
      <c r="F6" s="118" t="s">
        <v>453</v>
      </c>
      <c r="G6" s="182" t="s">
        <v>449</v>
      </c>
      <c r="H6" s="182" t="s">
        <v>454</v>
      </c>
      <c r="I6" s="59" t="s">
        <v>310</v>
      </c>
      <c r="J6" s="182" t="s">
        <v>315</v>
      </c>
      <c r="K6" s="183">
        <f>Y6</f>
        <v>721.60348826959216</v>
      </c>
      <c r="L6" s="226">
        <v>0</v>
      </c>
      <c r="M6" s="226">
        <v>223.98810230311935</v>
      </c>
      <c r="N6" s="226">
        <v>243.92911076787885</v>
      </c>
      <c r="O6" s="226">
        <v>253.68627519859402</v>
      </c>
      <c r="P6" s="226">
        <v>0</v>
      </c>
      <c r="Q6" s="226">
        <v>0</v>
      </c>
      <c r="R6" s="226">
        <v>0</v>
      </c>
      <c r="S6" s="226">
        <v>0</v>
      </c>
      <c r="T6" s="226">
        <v>0</v>
      </c>
      <c r="U6" s="226">
        <v>0</v>
      </c>
      <c r="V6" s="226">
        <v>0</v>
      </c>
      <c r="W6" s="226">
        <v>0</v>
      </c>
      <c r="X6" s="226">
        <v>0</v>
      </c>
      <c r="Y6" s="56">
        <f t="shared" ref="Y6:Y30" si="4">SUM(L6:X6)</f>
        <v>721.60348826959216</v>
      </c>
      <c r="Z6" s="55" t="s">
        <v>161</v>
      </c>
    </row>
    <row r="7" spans="1:26" ht="102" outlineLevel="1" x14ac:dyDescent="0.25">
      <c r="A7" s="43" t="s">
        <v>121</v>
      </c>
      <c r="B7" s="53" t="s">
        <v>575</v>
      </c>
      <c r="C7" s="54" t="s">
        <v>164</v>
      </c>
      <c r="D7" s="53" t="s">
        <v>162</v>
      </c>
      <c r="E7" s="182" t="s">
        <v>455</v>
      </c>
      <c r="F7" s="118" t="s">
        <v>456</v>
      </c>
      <c r="G7" s="182" t="s">
        <v>449</v>
      </c>
      <c r="H7" s="182" t="s">
        <v>454</v>
      </c>
      <c r="I7" s="59" t="s">
        <v>310</v>
      </c>
      <c r="J7" s="182">
        <v>2026</v>
      </c>
      <c r="K7" s="183">
        <f t="shared" ref="K7:K30" si="5">Y7</f>
        <v>56.780532880116652</v>
      </c>
      <c r="L7" s="226">
        <v>0</v>
      </c>
      <c r="M7" s="226">
        <v>0</v>
      </c>
      <c r="N7" s="226">
        <v>0</v>
      </c>
      <c r="O7" s="226">
        <v>56.780532880116652</v>
      </c>
      <c r="P7" s="226">
        <v>0</v>
      </c>
      <c r="Q7" s="226">
        <v>0</v>
      </c>
      <c r="R7" s="226">
        <v>0</v>
      </c>
      <c r="S7" s="226">
        <v>0</v>
      </c>
      <c r="T7" s="226">
        <v>0</v>
      </c>
      <c r="U7" s="226">
        <v>0</v>
      </c>
      <c r="V7" s="226">
        <v>0</v>
      </c>
      <c r="W7" s="226">
        <v>0</v>
      </c>
      <c r="X7" s="226">
        <v>0</v>
      </c>
      <c r="Y7" s="56">
        <f t="shared" si="4"/>
        <v>56.780532880116652</v>
      </c>
      <c r="Z7" s="55" t="s">
        <v>161</v>
      </c>
    </row>
    <row r="8" spans="1:26" ht="76.5" outlineLevel="1" x14ac:dyDescent="0.25">
      <c r="A8" s="43" t="s">
        <v>138</v>
      </c>
      <c r="B8" s="53" t="s">
        <v>575</v>
      </c>
      <c r="C8" s="54" t="s">
        <v>164</v>
      </c>
      <c r="D8" s="53" t="s">
        <v>162</v>
      </c>
      <c r="E8" s="182" t="s">
        <v>457</v>
      </c>
      <c r="F8" s="118" t="s">
        <v>458</v>
      </c>
      <c r="G8" s="182" t="s">
        <v>449</v>
      </c>
      <c r="H8" s="182" t="s">
        <v>459</v>
      </c>
      <c r="I8" s="59" t="s">
        <v>310</v>
      </c>
      <c r="J8" s="182">
        <v>2024</v>
      </c>
      <c r="K8" s="183">
        <f t="shared" si="5"/>
        <v>28.978435801821501</v>
      </c>
      <c r="L8" s="226">
        <v>0</v>
      </c>
      <c r="M8" s="226">
        <v>28.978435801821501</v>
      </c>
      <c r="N8" s="226">
        <v>0</v>
      </c>
      <c r="O8" s="226">
        <v>0</v>
      </c>
      <c r="P8" s="226">
        <v>0</v>
      </c>
      <c r="Q8" s="226">
        <v>0</v>
      </c>
      <c r="R8" s="226">
        <v>0</v>
      </c>
      <c r="S8" s="226">
        <v>0</v>
      </c>
      <c r="T8" s="226">
        <v>0</v>
      </c>
      <c r="U8" s="226">
        <v>0</v>
      </c>
      <c r="V8" s="226">
        <v>0</v>
      </c>
      <c r="W8" s="226">
        <v>0</v>
      </c>
      <c r="X8" s="226">
        <v>0</v>
      </c>
      <c r="Y8" s="56">
        <f t="shared" si="4"/>
        <v>28.978435801821501</v>
      </c>
      <c r="Z8" s="55" t="s">
        <v>161</v>
      </c>
    </row>
    <row r="9" spans="1:26" ht="34.5" customHeight="1" outlineLevel="1" x14ac:dyDescent="0.25">
      <c r="A9" s="43" t="s">
        <v>139</v>
      </c>
      <c r="B9" s="53" t="s">
        <v>575</v>
      </c>
      <c r="C9" s="54" t="s">
        <v>164</v>
      </c>
      <c r="D9" s="53" t="s">
        <v>162</v>
      </c>
      <c r="E9" s="182" t="s">
        <v>460</v>
      </c>
      <c r="F9" s="118" t="s">
        <v>461</v>
      </c>
      <c r="G9" s="182" t="s">
        <v>449</v>
      </c>
      <c r="H9" s="182" t="s">
        <v>459</v>
      </c>
      <c r="I9" s="59" t="s">
        <v>310</v>
      </c>
      <c r="J9" s="182">
        <v>2024</v>
      </c>
      <c r="K9" s="183">
        <f t="shared" si="5"/>
        <v>901.5513360566689</v>
      </c>
      <c r="L9" s="226">
        <v>0</v>
      </c>
      <c r="M9" s="226">
        <v>901.5513360566689</v>
      </c>
      <c r="N9" s="226">
        <v>0</v>
      </c>
      <c r="O9" s="226">
        <v>0</v>
      </c>
      <c r="P9" s="226">
        <v>0</v>
      </c>
      <c r="Q9" s="226">
        <v>0</v>
      </c>
      <c r="R9" s="226">
        <v>0</v>
      </c>
      <c r="S9" s="226">
        <v>0</v>
      </c>
      <c r="T9" s="226">
        <v>0</v>
      </c>
      <c r="U9" s="226">
        <v>0</v>
      </c>
      <c r="V9" s="226">
        <v>0</v>
      </c>
      <c r="W9" s="226">
        <v>0</v>
      </c>
      <c r="X9" s="226">
        <v>0</v>
      </c>
      <c r="Y9" s="56">
        <f t="shared" si="4"/>
        <v>901.5513360566689</v>
      </c>
      <c r="Z9" s="55" t="s">
        <v>161</v>
      </c>
    </row>
    <row r="10" spans="1:26" ht="76.5" outlineLevel="1" x14ac:dyDescent="0.25">
      <c r="A10" s="43" t="s">
        <v>328</v>
      </c>
      <c r="B10" s="53" t="s">
        <v>575</v>
      </c>
      <c r="C10" s="54" t="s">
        <v>164</v>
      </c>
      <c r="D10" s="53" t="s">
        <v>165</v>
      </c>
      <c r="E10" s="182" t="s">
        <v>462</v>
      </c>
      <c r="F10" s="118" t="s">
        <v>463</v>
      </c>
      <c r="G10" s="182" t="s">
        <v>449</v>
      </c>
      <c r="H10" s="182" t="s">
        <v>459</v>
      </c>
      <c r="I10" s="59" t="s">
        <v>310</v>
      </c>
      <c r="J10" s="182">
        <v>2024</v>
      </c>
      <c r="K10" s="183">
        <f t="shared" si="5"/>
        <v>22.538783401416723</v>
      </c>
      <c r="L10" s="226">
        <v>0</v>
      </c>
      <c r="M10" s="226">
        <v>22.538783401416723</v>
      </c>
      <c r="N10" s="226">
        <v>0</v>
      </c>
      <c r="O10" s="226">
        <v>0</v>
      </c>
      <c r="P10" s="226">
        <v>0</v>
      </c>
      <c r="Q10" s="226">
        <v>0</v>
      </c>
      <c r="R10" s="226">
        <v>0</v>
      </c>
      <c r="S10" s="226">
        <v>0</v>
      </c>
      <c r="T10" s="226">
        <v>0</v>
      </c>
      <c r="U10" s="226">
        <v>0</v>
      </c>
      <c r="V10" s="226">
        <v>0</v>
      </c>
      <c r="W10" s="226">
        <v>0</v>
      </c>
      <c r="X10" s="226">
        <v>0</v>
      </c>
      <c r="Y10" s="56">
        <f t="shared" si="4"/>
        <v>22.538783401416723</v>
      </c>
      <c r="Z10" s="55" t="s">
        <v>161</v>
      </c>
    </row>
    <row r="11" spans="1:26" ht="76.5" outlineLevel="1" x14ac:dyDescent="0.25">
      <c r="A11" s="43" t="s">
        <v>329</v>
      </c>
      <c r="B11" s="53" t="s">
        <v>575</v>
      </c>
      <c r="C11" s="54" t="s">
        <v>164</v>
      </c>
      <c r="D11" s="53" t="s">
        <v>162</v>
      </c>
      <c r="E11" s="182" t="s">
        <v>464</v>
      </c>
      <c r="F11" s="118" t="s">
        <v>463</v>
      </c>
      <c r="G11" s="182" t="s">
        <v>449</v>
      </c>
      <c r="H11" s="182" t="s">
        <v>459</v>
      </c>
      <c r="I11" s="59" t="s">
        <v>310</v>
      </c>
      <c r="J11" s="182">
        <v>2024</v>
      </c>
      <c r="K11" s="183">
        <f t="shared" si="5"/>
        <v>290.91169912320004</v>
      </c>
      <c r="L11" s="226">
        <v>0</v>
      </c>
      <c r="M11" s="226">
        <v>290.91169912320004</v>
      </c>
      <c r="N11" s="226">
        <v>0</v>
      </c>
      <c r="O11" s="226">
        <v>0</v>
      </c>
      <c r="P11" s="226">
        <v>0</v>
      </c>
      <c r="Q11" s="226">
        <v>0</v>
      </c>
      <c r="R11" s="226">
        <v>0</v>
      </c>
      <c r="S11" s="226">
        <v>0</v>
      </c>
      <c r="T11" s="226">
        <v>0</v>
      </c>
      <c r="U11" s="226">
        <v>0</v>
      </c>
      <c r="V11" s="226">
        <v>0</v>
      </c>
      <c r="W11" s="226">
        <v>0</v>
      </c>
      <c r="X11" s="226">
        <v>0</v>
      </c>
      <c r="Y11" s="56">
        <f t="shared" si="4"/>
        <v>290.91169912320004</v>
      </c>
      <c r="Z11" s="55" t="s">
        <v>161</v>
      </c>
    </row>
    <row r="12" spans="1:26" ht="89.25" outlineLevel="1" x14ac:dyDescent="0.25">
      <c r="A12" s="43" t="s">
        <v>330</v>
      </c>
      <c r="B12" s="53" t="s">
        <v>575</v>
      </c>
      <c r="C12" s="54" t="s">
        <v>164</v>
      </c>
      <c r="D12" s="53" t="s">
        <v>165</v>
      </c>
      <c r="E12" s="182" t="s">
        <v>465</v>
      </c>
      <c r="F12" s="118" t="s">
        <v>466</v>
      </c>
      <c r="G12" s="182" t="s">
        <v>449</v>
      </c>
      <c r="H12" s="182" t="s">
        <v>459</v>
      </c>
      <c r="I12" s="59" t="s">
        <v>310</v>
      </c>
      <c r="J12" s="182">
        <v>2026</v>
      </c>
      <c r="K12" s="183">
        <f t="shared" si="5"/>
        <v>1133.3650716529621</v>
      </c>
      <c r="L12" s="227">
        <v>0</v>
      </c>
      <c r="M12" s="227">
        <v>0</v>
      </c>
      <c r="N12" s="226">
        <v>0</v>
      </c>
      <c r="O12" s="226">
        <v>1133.3650716529621</v>
      </c>
      <c r="P12" s="227">
        <v>0</v>
      </c>
      <c r="Q12" s="227">
        <v>0</v>
      </c>
      <c r="R12" s="227">
        <v>0</v>
      </c>
      <c r="S12" s="227">
        <v>0</v>
      </c>
      <c r="T12" s="227">
        <v>0</v>
      </c>
      <c r="U12" s="227">
        <v>0</v>
      </c>
      <c r="V12" s="227">
        <v>0</v>
      </c>
      <c r="W12" s="227">
        <v>0</v>
      </c>
      <c r="X12" s="227">
        <v>0</v>
      </c>
      <c r="Y12" s="56">
        <f t="shared" si="4"/>
        <v>1133.3650716529621</v>
      </c>
      <c r="Z12" s="55" t="s">
        <v>156</v>
      </c>
    </row>
    <row r="13" spans="1:26" ht="76.5" outlineLevel="1" x14ac:dyDescent="0.25">
      <c r="A13" s="43" t="s">
        <v>331</v>
      </c>
      <c r="B13" s="53" t="s">
        <v>575</v>
      </c>
      <c r="C13" s="54" t="s">
        <v>164</v>
      </c>
      <c r="D13" s="53" t="s">
        <v>162</v>
      </c>
      <c r="E13" s="182" t="s">
        <v>467</v>
      </c>
      <c r="F13" s="118" t="s">
        <v>463</v>
      </c>
      <c r="G13" s="182" t="s">
        <v>449</v>
      </c>
      <c r="H13" s="182" t="s">
        <v>459</v>
      </c>
      <c r="I13" s="59" t="s">
        <v>310</v>
      </c>
      <c r="J13" s="182">
        <v>2024</v>
      </c>
      <c r="K13" s="183">
        <f t="shared" si="5"/>
        <v>447.05309903321904</v>
      </c>
      <c r="L13" s="227">
        <v>0</v>
      </c>
      <c r="M13" s="227">
        <v>447.05309903321904</v>
      </c>
      <c r="N13" s="226">
        <v>0</v>
      </c>
      <c r="O13" s="226">
        <v>0</v>
      </c>
      <c r="P13" s="227">
        <v>0</v>
      </c>
      <c r="Q13" s="227">
        <v>0</v>
      </c>
      <c r="R13" s="227">
        <v>0</v>
      </c>
      <c r="S13" s="227">
        <v>0</v>
      </c>
      <c r="T13" s="227">
        <v>0</v>
      </c>
      <c r="U13" s="227">
        <v>0</v>
      </c>
      <c r="V13" s="227">
        <v>0</v>
      </c>
      <c r="W13" s="227">
        <v>0</v>
      </c>
      <c r="X13" s="227">
        <v>0</v>
      </c>
      <c r="Y13" s="56">
        <f t="shared" si="4"/>
        <v>447.05309903321904</v>
      </c>
      <c r="Z13" s="55" t="s">
        <v>161</v>
      </c>
    </row>
    <row r="14" spans="1:26" ht="76.5" outlineLevel="1" x14ac:dyDescent="0.25">
      <c r="A14" s="43" t="s">
        <v>332</v>
      </c>
      <c r="B14" s="53" t="s">
        <v>575</v>
      </c>
      <c r="C14" s="54" t="s">
        <v>164</v>
      </c>
      <c r="D14" s="53" t="s">
        <v>162</v>
      </c>
      <c r="E14" s="182" t="s">
        <v>468</v>
      </c>
      <c r="F14" s="118" t="s">
        <v>463</v>
      </c>
      <c r="G14" s="182" t="s">
        <v>449</v>
      </c>
      <c r="H14" s="182" t="s">
        <v>459</v>
      </c>
      <c r="I14" s="59" t="s">
        <v>310</v>
      </c>
      <c r="J14" s="182">
        <v>2024</v>
      </c>
      <c r="K14" s="183">
        <f t="shared" si="5"/>
        <v>107.3275400067463</v>
      </c>
      <c r="L14" s="227">
        <v>0</v>
      </c>
      <c r="M14" s="227">
        <v>107.3275400067463</v>
      </c>
      <c r="N14" s="226">
        <v>0</v>
      </c>
      <c r="O14" s="226">
        <v>0</v>
      </c>
      <c r="P14" s="227">
        <v>0</v>
      </c>
      <c r="Q14" s="227">
        <v>0</v>
      </c>
      <c r="R14" s="227">
        <v>0</v>
      </c>
      <c r="S14" s="227">
        <v>0</v>
      </c>
      <c r="T14" s="227">
        <v>0</v>
      </c>
      <c r="U14" s="227">
        <v>0</v>
      </c>
      <c r="V14" s="227">
        <v>0</v>
      </c>
      <c r="W14" s="227">
        <v>0</v>
      </c>
      <c r="X14" s="227">
        <v>0</v>
      </c>
      <c r="Y14" s="56">
        <f t="shared" si="4"/>
        <v>107.3275400067463</v>
      </c>
      <c r="Z14" s="55" t="s">
        <v>161</v>
      </c>
    </row>
    <row r="15" spans="1:26" ht="51" outlineLevel="1" x14ac:dyDescent="0.25">
      <c r="A15" s="43" t="s">
        <v>333</v>
      </c>
      <c r="B15" s="53" t="s">
        <v>575</v>
      </c>
      <c r="C15" s="54" t="s">
        <v>168</v>
      </c>
      <c r="D15" s="53" t="s">
        <v>162</v>
      </c>
      <c r="E15" s="182" t="s">
        <v>469</v>
      </c>
      <c r="F15" s="118" t="s">
        <v>470</v>
      </c>
      <c r="G15" s="182" t="s">
        <v>449</v>
      </c>
      <c r="H15" s="182" t="s">
        <v>471</v>
      </c>
      <c r="I15" s="59" t="s">
        <v>310</v>
      </c>
      <c r="J15" s="182">
        <v>2024</v>
      </c>
      <c r="K15" s="183">
        <f t="shared" si="5"/>
        <v>114.03551125716797</v>
      </c>
      <c r="L15" s="227">
        <v>0</v>
      </c>
      <c r="M15" s="227">
        <v>114.03551125716797</v>
      </c>
      <c r="N15" s="226">
        <v>0</v>
      </c>
      <c r="O15" s="226">
        <v>0</v>
      </c>
      <c r="P15" s="227">
        <v>0</v>
      </c>
      <c r="Q15" s="227">
        <v>0</v>
      </c>
      <c r="R15" s="227">
        <v>0</v>
      </c>
      <c r="S15" s="227">
        <v>0</v>
      </c>
      <c r="T15" s="227">
        <v>0</v>
      </c>
      <c r="U15" s="227">
        <v>0</v>
      </c>
      <c r="V15" s="227">
        <v>0</v>
      </c>
      <c r="W15" s="227">
        <v>0</v>
      </c>
      <c r="X15" s="227">
        <v>0</v>
      </c>
      <c r="Y15" s="56">
        <f t="shared" si="4"/>
        <v>114.03551125716797</v>
      </c>
      <c r="Z15" s="55" t="s">
        <v>161</v>
      </c>
    </row>
    <row r="16" spans="1:26" ht="140.25" outlineLevel="1" x14ac:dyDescent="0.25">
      <c r="A16" s="43" t="s">
        <v>334</v>
      </c>
      <c r="B16" s="53" t="s">
        <v>575</v>
      </c>
      <c r="C16" s="54" t="s">
        <v>169</v>
      </c>
      <c r="D16" s="53" t="s">
        <v>165</v>
      </c>
      <c r="E16" s="182" t="s">
        <v>472</v>
      </c>
      <c r="F16" s="118" t="s">
        <v>463</v>
      </c>
      <c r="G16" s="182" t="s">
        <v>449</v>
      </c>
      <c r="H16" s="182" t="s">
        <v>473</v>
      </c>
      <c r="I16" s="59" t="s">
        <v>310</v>
      </c>
      <c r="J16" s="182">
        <v>2024</v>
      </c>
      <c r="K16" s="183">
        <f t="shared" si="5"/>
        <v>64644.008647137111</v>
      </c>
      <c r="L16" s="227">
        <v>0</v>
      </c>
      <c r="M16" s="227">
        <v>64644.008647137111</v>
      </c>
      <c r="N16" s="226">
        <v>0</v>
      </c>
      <c r="O16" s="226">
        <v>0</v>
      </c>
      <c r="P16" s="227">
        <v>0</v>
      </c>
      <c r="Q16" s="227">
        <v>0</v>
      </c>
      <c r="R16" s="227">
        <v>0</v>
      </c>
      <c r="S16" s="227">
        <v>0</v>
      </c>
      <c r="T16" s="227">
        <v>0</v>
      </c>
      <c r="U16" s="227">
        <v>0</v>
      </c>
      <c r="V16" s="227">
        <v>0</v>
      </c>
      <c r="W16" s="227">
        <v>0</v>
      </c>
      <c r="X16" s="227">
        <v>0</v>
      </c>
      <c r="Y16" s="56">
        <f t="shared" si="4"/>
        <v>64644.008647137111</v>
      </c>
      <c r="Z16" s="55" t="s">
        <v>161</v>
      </c>
    </row>
    <row r="17" spans="1:26" ht="182.25" customHeight="1" outlineLevel="1" x14ac:dyDescent="0.25">
      <c r="A17" s="43" t="s">
        <v>335</v>
      </c>
      <c r="B17" s="53" t="s">
        <v>575</v>
      </c>
      <c r="C17" s="54" t="s">
        <v>169</v>
      </c>
      <c r="D17" s="53" t="s">
        <v>165</v>
      </c>
      <c r="E17" s="182" t="s">
        <v>474</v>
      </c>
      <c r="F17" s="118" t="s">
        <v>475</v>
      </c>
      <c r="G17" s="182" t="s">
        <v>449</v>
      </c>
      <c r="H17" s="182" t="s">
        <v>473</v>
      </c>
      <c r="I17" s="59" t="s">
        <v>310</v>
      </c>
      <c r="J17" s="182">
        <v>2025</v>
      </c>
      <c r="K17" s="183">
        <f t="shared" si="5"/>
        <v>18161.996848265007</v>
      </c>
      <c r="L17" s="227">
        <v>0</v>
      </c>
      <c r="M17" s="227">
        <v>0</v>
      </c>
      <c r="N17" s="226">
        <v>18161.996848265007</v>
      </c>
      <c r="O17" s="226">
        <v>0</v>
      </c>
      <c r="P17" s="227">
        <v>0</v>
      </c>
      <c r="Q17" s="227">
        <v>0</v>
      </c>
      <c r="R17" s="227">
        <v>0</v>
      </c>
      <c r="S17" s="227">
        <v>0</v>
      </c>
      <c r="T17" s="227">
        <v>0</v>
      </c>
      <c r="U17" s="227">
        <v>0</v>
      </c>
      <c r="V17" s="227">
        <v>0</v>
      </c>
      <c r="W17" s="227">
        <v>0</v>
      </c>
      <c r="X17" s="227">
        <v>0</v>
      </c>
      <c r="Y17" s="56">
        <f t="shared" si="4"/>
        <v>18161.996848265007</v>
      </c>
      <c r="Z17" s="55" t="s">
        <v>161</v>
      </c>
    </row>
    <row r="18" spans="1:26" ht="229.5" outlineLevel="1" x14ac:dyDescent="0.25">
      <c r="A18" s="43" t="s">
        <v>336</v>
      </c>
      <c r="B18" s="53" t="s">
        <v>575</v>
      </c>
      <c r="C18" s="54" t="s">
        <v>168</v>
      </c>
      <c r="D18" s="53" t="s">
        <v>165</v>
      </c>
      <c r="E18" s="182" t="s">
        <v>476</v>
      </c>
      <c r="F18" s="118" t="s">
        <v>477</v>
      </c>
      <c r="G18" s="182" t="s">
        <v>449</v>
      </c>
      <c r="H18" s="182" t="s">
        <v>478</v>
      </c>
      <c r="I18" s="59" t="s">
        <v>310</v>
      </c>
      <c r="J18" s="182">
        <v>2024</v>
      </c>
      <c r="K18" s="183">
        <f t="shared" si="5"/>
        <v>272.13367305232543</v>
      </c>
      <c r="L18" s="227">
        <v>0</v>
      </c>
      <c r="M18" s="227">
        <v>272.13367305232543</v>
      </c>
      <c r="N18" s="226">
        <v>0</v>
      </c>
      <c r="O18" s="226">
        <v>0</v>
      </c>
      <c r="P18" s="227">
        <v>0</v>
      </c>
      <c r="Q18" s="227">
        <v>0</v>
      </c>
      <c r="R18" s="227">
        <v>0</v>
      </c>
      <c r="S18" s="227">
        <v>0</v>
      </c>
      <c r="T18" s="227">
        <v>0</v>
      </c>
      <c r="U18" s="227">
        <v>0</v>
      </c>
      <c r="V18" s="227">
        <v>0</v>
      </c>
      <c r="W18" s="227">
        <v>0</v>
      </c>
      <c r="X18" s="227">
        <v>0</v>
      </c>
      <c r="Y18" s="56">
        <f t="shared" si="4"/>
        <v>272.13367305232543</v>
      </c>
      <c r="Z18" s="55" t="s">
        <v>156</v>
      </c>
    </row>
    <row r="19" spans="1:26" ht="306" outlineLevel="1" x14ac:dyDescent="0.25">
      <c r="A19" s="43" t="s">
        <v>337</v>
      </c>
      <c r="B19" s="53" t="s">
        <v>575</v>
      </c>
      <c r="C19" s="54" t="s">
        <v>168</v>
      </c>
      <c r="D19" s="53" t="s">
        <v>162</v>
      </c>
      <c r="E19" s="182" t="s">
        <v>479</v>
      </c>
      <c r="F19" s="118" t="s">
        <v>480</v>
      </c>
      <c r="G19" s="182" t="s">
        <v>449</v>
      </c>
      <c r="H19" s="182" t="s">
        <v>481</v>
      </c>
      <c r="I19" s="59" t="s">
        <v>310</v>
      </c>
      <c r="J19" s="182" t="s">
        <v>315</v>
      </c>
      <c r="K19" s="183">
        <f t="shared" si="5"/>
        <v>8437.6219825401022</v>
      </c>
      <c r="L19" s="227">
        <v>0</v>
      </c>
      <c r="M19" s="227">
        <v>2928.1345645426291</v>
      </c>
      <c r="N19" s="226">
        <v>2700.7291264693499</v>
      </c>
      <c r="O19" s="226">
        <v>2808.7582915281241</v>
      </c>
      <c r="P19" s="227">
        <v>0</v>
      </c>
      <c r="Q19" s="227">
        <v>0</v>
      </c>
      <c r="R19" s="227">
        <v>0</v>
      </c>
      <c r="S19" s="227">
        <v>0</v>
      </c>
      <c r="T19" s="226">
        <v>0</v>
      </c>
      <c r="U19" s="226">
        <v>0</v>
      </c>
      <c r="V19" s="226">
        <v>0</v>
      </c>
      <c r="W19" s="226">
        <v>0</v>
      </c>
      <c r="X19" s="226">
        <v>0</v>
      </c>
      <c r="Y19" s="56">
        <f t="shared" si="4"/>
        <v>8437.6219825401022</v>
      </c>
      <c r="Z19" s="55" t="s">
        <v>161</v>
      </c>
    </row>
    <row r="20" spans="1:26" ht="306" outlineLevel="1" x14ac:dyDescent="0.25">
      <c r="A20" s="43" t="s">
        <v>338</v>
      </c>
      <c r="B20" s="53" t="s">
        <v>575</v>
      </c>
      <c r="C20" s="54" t="s">
        <v>168</v>
      </c>
      <c r="D20" s="53" t="s">
        <v>162</v>
      </c>
      <c r="E20" s="182" t="s">
        <v>482</v>
      </c>
      <c r="F20" s="118" t="s">
        <v>483</v>
      </c>
      <c r="G20" s="182" t="s">
        <v>449</v>
      </c>
      <c r="H20" s="182" t="s">
        <v>481</v>
      </c>
      <c r="I20" s="59" t="s">
        <v>310</v>
      </c>
      <c r="J20" s="182" t="s">
        <v>484</v>
      </c>
      <c r="K20" s="183">
        <f t="shared" si="5"/>
        <v>24055.011685603815</v>
      </c>
      <c r="L20" s="227">
        <v>0</v>
      </c>
      <c r="M20" s="227">
        <v>2608.101095263773</v>
      </c>
      <c r="N20" s="226">
        <v>2715.3850292888874</v>
      </c>
      <c r="O20" s="226">
        <v>2824.0004304604431</v>
      </c>
      <c r="P20" s="227">
        <v>2936.9604476788604</v>
      </c>
      <c r="Q20" s="227">
        <v>3054.4388655860148</v>
      </c>
      <c r="R20" s="227">
        <v>3176.6164202094556</v>
      </c>
      <c r="S20" s="227">
        <v>3303.681077017834</v>
      </c>
      <c r="T20" s="226">
        <v>3435.8283200985475</v>
      </c>
      <c r="U20" s="226">
        <v>0</v>
      </c>
      <c r="V20" s="226">
        <v>0</v>
      </c>
      <c r="W20" s="226">
        <v>0</v>
      </c>
      <c r="X20" s="226">
        <v>0</v>
      </c>
      <c r="Y20" s="56">
        <f t="shared" si="4"/>
        <v>24055.011685603815</v>
      </c>
      <c r="Z20" s="55" t="s">
        <v>161</v>
      </c>
    </row>
    <row r="21" spans="1:26" ht="306" outlineLevel="1" x14ac:dyDescent="0.25">
      <c r="A21" s="43" t="s">
        <v>339</v>
      </c>
      <c r="B21" s="53" t="s">
        <v>575</v>
      </c>
      <c r="C21" s="54" t="s">
        <v>164</v>
      </c>
      <c r="D21" s="53" t="s">
        <v>162</v>
      </c>
      <c r="E21" s="182" t="s">
        <v>485</v>
      </c>
      <c r="F21" s="118" t="s">
        <v>463</v>
      </c>
      <c r="G21" s="182" t="s">
        <v>449</v>
      </c>
      <c r="H21" s="182" t="s">
        <v>481</v>
      </c>
      <c r="I21" s="59" t="s">
        <v>310</v>
      </c>
      <c r="J21" s="182">
        <v>2024</v>
      </c>
      <c r="K21" s="183">
        <f t="shared" si="5"/>
        <v>335.10985143846403</v>
      </c>
      <c r="L21" s="227">
        <v>0</v>
      </c>
      <c r="M21" s="227">
        <v>335.10985143846403</v>
      </c>
      <c r="N21" s="226">
        <v>0</v>
      </c>
      <c r="O21" s="226">
        <v>0</v>
      </c>
      <c r="P21" s="227">
        <v>0</v>
      </c>
      <c r="Q21" s="227">
        <v>0</v>
      </c>
      <c r="R21" s="227">
        <v>0</v>
      </c>
      <c r="S21" s="227">
        <v>0</v>
      </c>
      <c r="T21" s="226">
        <v>0</v>
      </c>
      <c r="U21" s="226">
        <v>0</v>
      </c>
      <c r="V21" s="226">
        <v>0</v>
      </c>
      <c r="W21" s="226">
        <v>0</v>
      </c>
      <c r="X21" s="226">
        <v>0</v>
      </c>
      <c r="Y21" s="56">
        <f t="shared" si="4"/>
        <v>335.10985143846403</v>
      </c>
      <c r="Z21" s="55" t="s">
        <v>161</v>
      </c>
    </row>
    <row r="22" spans="1:26" ht="191.25" outlineLevel="1" x14ac:dyDescent="0.25">
      <c r="A22" s="43" t="s">
        <v>340</v>
      </c>
      <c r="B22" s="53" t="s">
        <v>575</v>
      </c>
      <c r="C22" s="54" t="s">
        <v>164</v>
      </c>
      <c r="D22" s="53" t="s">
        <v>165</v>
      </c>
      <c r="E22" s="182" t="s">
        <v>486</v>
      </c>
      <c r="F22" s="118" t="s">
        <v>487</v>
      </c>
      <c r="G22" s="182" t="s">
        <v>449</v>
      </c>
      <c r="H22" s="182" t="s">
        <v>488</v>
      </c>
      <c r="I22" s="59" t="s">
        <v>310</v>
      </c>
      <c r="J22" s="182" t="s">
        <v>489</v>
      </c>
      <c r="K22" s="183">
        <f t="shared" si="5"/>
        <v>343410.86937837972</v>
      </c>
      <c r="L22" s="227">
        <v>0</v>
      </c>
      <c r="M22" s="227">
        <v>43437.7176183228</v>
      </c>
      <c r="N22" s="226">
        <v>45224.523060653388</v>
      </c>
      <c r="O22" s="226">
        <v>47033.503983079529</v>
      </c>
      <c r="P22" s="227">
        <v>48914.844142402711</v>
      </c>
      <c r="Q22" s="227">
        <v>50871.437908098815</v>
      </c>
      <c r="R22" s="227">
        <v>52906.295424422773</v>
      </c>
      <c r="S22" s="227">
        <v>55022.54724139969</v>
      </c>
      <c r="T22" s="226">
        <v>0</v>
      </c>
      <c r="U22" s="226">
        <v>0</v>
      </c>
      <c r="V22" s="226">
        <v>0</v>
      </c>
      <c r="W22" s="226">
        <v>0</v>
      </c>
      <c r="X22" s="226">
        <v>0</v>
      </c>
      <c r="Y22" s="56">
        <f t="shared" si="4"/>
        <v>343410.86937837972</v>
      </c>
      <c r="Z22" s="55" t="s">
        <v>156</v>
      </c>
    </row>
    <row r="23" spans="1:26" ht="63.75" outlineLevel="1" x14ac:dyDescent="0.25">
      <c r="A23" s="43" t="s">
        <v>341</v>
      </c>
      <c r="B23" s="53" t="s">
        <v>575</v>
      </c>
      <c r="C23" s="54" t="s">
        <v>164</v>
      </c>
      <c r="D23" s="53" t="s">
        <v>165</v>
      </c>
      <c r="E23" s="182" t="s">
        <v>506</v>
      </c>
      <c r="F23" s="118" t="s">
        <v>507</v>
      </c>
      <c r="G23" s="182" t="s">
        <v>449</v>
      </c>
      <c r="H23" s="182" t="s">
        <v>502</v>
      </c>
      <c r="I23" s="59" t="s">
        <v>163</v>
      </c>
      <c r="J23" s="182">
        <v>2023</v>
      </c>
      <c r="K23" s="183">
        <f t="shared" si="5"/>
        <v>27200</v>
      </c>
      <c r="L23" s="227">
        <v>27200</v>
      </c>
      <c r="M23" s="227">
        <v>0</v>
      </c>
      <c r="N23" s="226">
        <v>0</v>
      </c>
      <c r="O23" s="226">
        <v>0</v>
      </c>
      <c r="P23" s="227">
        <v>0</v>
      </c>
      <c r="Q23" s="227">
        <v>0</v>
      </c>
      <c r="R23" s="227">
        <v>0</v>
      </c>
      <c r="S23" s="227">
        <v>0</v>
      </c>
      <c r="T23" s="226">
        <v>0</v>
      </c>
      <c r="U23" s="226">
        <v>0</v>
      </c>
      <c r="V23" s="226">
        <v>0</v>
      </c>
      <c r="W23" s="226">
        <v>0</v>
      </c>
      <c r="X23" s="226">
        <v>0</v>
      </c>
      <c r="Y23" s="56">
        <f t="shared" si="4"/>
        <v>27200</v>
      </c>
      <c r="Z23" s="55" t="s">
        <v>156</v>
      </c>
    </row>
    <row r="24" spans="1:26" ht="51" outlineLevel="1" x14ac:dyDescent="0.25">
      <c r="A24" s="43" t="s">
        <v>342</v>
      </c>
      <c r="B24" s="53" t="s">
        <v>575</v>
      </c>
      <c r="C24" s="54" t="s">
        <v>164</v>
      </c>
      <c r="D24" s="53" t="s">
        <v>165</v>
      </c>
      <c r="E24" s="182" t="s">
        <v>490</v>
      </c>
      <c r="F24" s="118" t="s">
        <v>491</v>
      </c>
      <c r="G24" s="182" t="s">
        <v>449</v>
      </c>
      <c r="H24" s="182" t="s">
        <v>502</v>
      </c>
      <c r="I24" s="59" t="s">
        <v>163</v>
      </c>
      <c r="J24" s="182">
        <v>2025</v>
      </c>
      <c r="K24" s="183">
        <f t="shared" si="5"/>
        <v>32000</v>
      </c>
      <c r="L24" s="227">
        <v>0</v>
      </c>
      <c r="M24" s="227">
        <v>0</v>
      </c>
      <c r="N24" s="226">
        <v>32000</v>
      </c>
      <c r="O24" s="226">
        <v>0</v>
      </c>
      <c r="P24" s="227">
        <v>0</v>
      </c>
      <c r="Q24" s="227">
        <v>0</v>
      </c>
      <c r="R24" s="227">
        <v>0</v>
      </c>
      <c r="S24" s="227">
        <v>0</v>
      </c>
      <c r="T24" s="226">
        <v>0</v>
      </c>
      <c r="U24" s="226">
        <v>0</v>
      </c>
      <c r="V24" s="226">
        <v>0</v>
      </c>
      <c r="W24" s="226">
        <v>0</v>
      </c>
      <c r="X24" s="226">
        <v>0</v>
      </c>
      <c r="Y24" s="56">
        <f t="shared" si="4"/>
        <v>32000</v>
      </c>
      <c r="Z24" s="55" t="s">
        <v>156</v>
      </c>
    </row>
    <row r="25" spans="1:26" ht="63.75" outlineLevel="1" x14ac:dyDescent="0.25">
      <c r="A25" s="43" t="s">
        <v>343</v>
      </c>
      <c r="B25" s="53" t="s">
        <v>575</v>
      </c>
      <c r="C25" s="54" t="s">
        <v>164</v>
      </c>
      <c r="D25" s="53" t="s">
        <v>165</v>
      </c>
      <c r="E25" s="182" t="s">
        <v>492</v>
      </c>
      <c r="F25" s="118" t="s">
        <v>493</v>
      </c>
      <c r="G25" s="182" t="s">
        <v>449</v>
      </c>
      <c r="H25" s="182" t="s">
        <v>502</v>
      </c>
      <c r="I25" s="59" t="s">
        <v>163</v>
      </c>
      <c r="J25" s="182">
        <v>2025</v>
      </c>
      <c r="K25" s="183">
        <f t="shared" si="5"/>
        <v>200000</v>
      </c>
      <c r="L25" s="227">
        <v>0</v>
      </c>
      <c r="M25" s="227">
        <v>0</v>
      </c>
      <c r="N25" s="226">
        <v>200000</v>
      </c>
      <c r="O25" s="226">
        <v>0</v>
      </c>
      <c r="P25" s="227">
        <v>0</v>
      </c>
      <c r="Q25" s="227">
        <v>0</v>
      </c>
      <c r="R25" s="227">
        <v>0</v>
      </c>
      <c r="S25" s="227">
        <v>0</v>
      </c>
      <c r="T25" s="226">
        <v>0</v>
      </c>
      <c r="U25" s="226">
        <v>0</v>
      </c>
      <c r="V25" s="226">
        <v>0</v>
      </c>
      <c r="W25" s="226">
        <v>0</v>
      </c>
      <c r="X25" s="226">
        <v>0</v>
      </c>
      <c r="Y25" s="56">
        <f t="shared" si="4"/>
        <v>200000</v>
      </c>
      <c r="Z25" s="55" t="s">
        <v>156</v>
      </c>
    </row>
    <row r="26" spans="1:26" ht="102" outlineLevel="1" x14ac:dyDescent="0.25">
      <c r="A26" s="43" t="s">
        <v>344</v>
      </c>
      <c r="B26" s="53" t="s">
        <v>575</v>
      </c>
      <c r="C26" s="54" t="s">
        <v>164</v>
      </c>
      <c r="D26" s="53" t="s">
        <v>165</v>
      </c>
      <c r="E26" s="182" t="s">
        <v>494</v>
      </c>
      <c r="F26" s="118" t="s">
        <v>463</v>
      </c>
      <c r="G26" s="182" t="s">
        <v>449</v>
      </c>
      <c r="H26" s="182" t="s">
        <v>503</v>
      </c>
      <c r="I26" s="59" t="s">
        <v>163</v>
      </c>
      <c r="J26" s="182" t="s">
        <v>406</v>
      </c>
      <c r="K26" s="183">
        <f t="shared" si="5"/>
        <v>2179.9691720571541</v>
      </c>
      <c r="L26" s="227">
        <v>0</v>
      </c>
      <c r="M26" s="227">
        <v>0</v>
      </c>
      <c r="N26" s="226">
        <v>0</v>
      </c>
      <c r="O26" s="226">
        <v>1068.612339243703</v>
      </c>
      <c r="P26" s="227">
        <v>1111.3568328134511</v>
      </c>
      <c r="Q26" s="227">
        <v>0</v>
      </c>
      <c r="R26" s="227">
        <v>0</v>
      </c>
      <c r="S26" s="227">
        <v>0</v>
      </c>
      <c r="T26" s="226">
        <v>0</v>
      </c>
      <c r="U26" s="226">
        <v>0</v>
      </c>
      <c r="V26" s="226">
        <v>0</v>
      </c>
      <c r="W26" s="226">
        <v>0</v>
      </c>
      <c r="X26" s="226">
        <v>0</v>
      </c>
      <c r="Y26" s="56">
        <f t="shared" si="4"/>
        <v>2179.9691720571541</v>
      </c>
      <c r="Z26" s="55" t="s">
        <v>161</v>
      </c>
    </row>
    <row r="27" spans="1:26" ht="63.75" outlineLevel="1" x14ac:dyDescent="0.25">
      <c r="A27" s="43" t="s">
        <v>345</v>
      </c>
      <c r="B27" s="53" t="s">
        <v>575</v>
      </c>
      <c r="C27" s="54" t="s">
        <v>164</v>
      </c>
      <c r="D27" s="53" t="s">
        <v>165</v>
      </c>
      <c r="E27" s="182" t="s">
        <v>495</v>
      </c>
      <c r="F27" s="118" t="s">
        <v>496</v>
      </c>
      <c r="G27" s="182" t="s">
        <v>449</v>
      </c>
      <c r="H27" s="182" t="s">
        <v>502</v>
      </c>
      <c r="I27" s="59" t="s">
        <v>163</v>
      </c>
      <c r="J27" s="182">
        <v>2023</v>
      </c>
      <c r="K27" s="183">
        <f t="shared" si="5"/>
        <v>8982</v>
      </c>
      <c r="L27" s="227">
        <v>8982</v>
      </c>
      <c r="M27" s="227">
        <v>0</v>
      </c>
      <c r="N27" s="226">
        <v>0</v>
      </c>
      <c r="O27" s="226">
        <v>0</v>
      </c>
      <c r="P27" s="227">
        <v>0</v>
      </c>
      <c r="Q27" s="227">
        <v>0</v>
      </c>
      <c r="R27" s="227">
        <v>0</v>
      </c>
      <c r="S27" s="227">
        <v>0</v>
      </c>
      <c r="T27" s="226">
        <v>0</v>
      </c>
      <c r="U27" s="226">
        <v>0</v>
      </c>
      <c r="V27" s="226">
        <v>0</v>
      </c>
      <c r="W27" s="226">
        <v>0</v>
      </c>
      <c r="X27" s="226">
        <v>0</v>
      </c>
      <c r="Y27" s="56">
        <f t="shared" si="4"/>
        <v>8982</v>
      </c>
      <c r="Z27" s="55" t="s">
        <v>156</v>
      </c>
    </row>
    <row r="28" spans="1:26" ht="114.75" outlineLevel="1" x14ac:dyDescent="0.25">
      <c r="A28" s="43" t="s">
        <v>346</v>
      </c>
      <c r="B28" s="53" t="s">
        <v>575</v>
      </c>
      <c r="C28" s="54" t="s">
        <v>164</v>
      </c>
      <c r="D28" s="53" t="s">
        <v>165</v>
      </c>
      <c r="E28" s="182" t="s">
        <v>497</v>
      </c>
      <c r="F28" s="118" t="s">
        <v>498</v>
      </c>
      <c r="G28" s="182" t="s">
        <v>449</v>
      </c>
      <c r="H28" s="182" t="s">
        <v>504</v>
      </c>
      <c r="I28" s="59" t="s">
        <v>163</v>
      </c>
      <c r="J28" s="182">
        <v>2026</v>
      </c>
      <c r="K28" s="183">
        <f t="shared" si="5"/>
        <v>200000</v>
      </c>
      <c r="L28" s="227">
        <v>0</v>
      </c>
      <c r="M28" s="227">
        <v>0</v>
      </c>
      <c r="N28" s="226">
        <v>0</v>
      </c>
      <c r="O28" s="226">
        <v>200000</v>
      </c>
      <c r="P28" s="227">
        <v>0</v>
      </c>
      <c r="Q28" s="227">
        <v>0</v>
      </c>
      <c r="R28" s="227">
        <v>0</v>
      </c>
      <c r="S28" s="227">
        <v>0</v>
      </c>
      <c r="T28" s="226">
        <v>0</v>
      </c>
      <c r="U28" s="226">
        <v>0</v>
      </c>
      <c r="V28" s="226">
        <v>0</v>
      </c>
      <c r="W28" s="226">
        <v>0</v>
      </c>
      <c r="X28" s="226">
        <v>0</v>
      </c>
      <c r="Y28" s="56">
        <f t="shared" si="4"/>
        <v>200000</v>
      </c>
      <c r="Z28" s="55" t="s">
        <v>161</v>
      </c>
    </row>
    <row r="29" spans="1:26" ht="127.5" outlineLevel="1" x14ac:dyDescent="0.25">
      <c r="A29" s="43" t="s">
        <v>347</v>
      </c>
      <c r="B29" s="53" t="s">
        <v>575</v>
      </c>
      <c r="C29" s="54" t="s">
        <v>164</v>
      </c>
      <c r="D29" s="53" t="s">
        <v>165</v>
      </c>
      <c r="E29" s="182" t="s">
        <v>499</v>
      </c>
      <c r="F29" s="118" t="s">
        <v>463</v>
      </c>
      <c r="G29" s="182" t="s">
        <v>449</v>
      </c>
      <c r="H29" s="182" t="s">
        <v>505</v>
      </c>
      <c r="I29" s="59" t="s">
        <v>163</v>
      </c>
      <c r="J29" s="182">
        <v>2024</v>
      </c>
      <c r="K29" s="183">
        <f t="shared" si="5"/>
        <v>150000</v>
      </c>
      <c r="L29" s="227">
        <v>0</v>
      </c>
      <c r="M29" s="227">
        <v>150000</v>
      </c>
      <c r="N29" s="226">
        <v>0</v>
      </c>
      <c r="O29" s="226">
        <v>0</v>
      </c>
      <c r="P29" s="227">
        <v>0</v>
      </c>
      <c r="Q29" s="227">
        <v>0</v>
      </c>
      <c r="R29" s="227">
        <v>0</v>
      </c>
      <c r="S29" s="227">
        <v>0</v>
      </c>
      <c r="T29" s="226">
        <v>0</v>
      </c>
      <c r="U29" s="226">
        <v>0</v>
      </c>
      <c r="V29" s="226">
        <v>0</v>
      </c>
      <c r="W29" s="226">
        <v>0</v>
      </c>
      <c r="X29" s="226">
        <v>0</v>
      </c>
      <c r="Y29" s="56">
        <f t="shared" si="4"/>
        <v>150000</v>
      </c>
      <c r="Z29" s="55" t="s">
        <v>161</v>
      </c>
    </row>
    <row r="30" spans="1:26" ht="76.5" outlineLevel="1" x14ac:dyDescent="0.25">
      <c r="A30" s="43" t="s">
        <v>348</v>
      </c>
      <c r="B30" s="53" t="s">
        <v>575</v>
      </c>
      <c r="C30" s="54" t="s">
        <v>164</v>
      </c>
      <c r="D30" s="53" t="s">
        <v>165</v>
      </c>
      <c r="E30" s="182" t="s">
        <v>500</v>
      </c>
      <c r="F30" s="118" t="s">
        <v>501</v>
      </c>
      <c r="G30" s="182" t="s">
        <v>449</v>
      </c>
      <c r="H30" s="182" t="s">
        <v>502</v>
      </c>
      <c r="I30" s="59" t="s">
        <v>163</v>
      </c>
      <c r="J30" s="182">
        <v>2024</v>
      </c>
      <c r="K30" s="183">
        <f t="shared" si="5"/>
        <v>11529</v>
      </c>
      <c r="L30" s="227">
        <v>11529</v>
      </c>
      <c r="M30" s="227">
        <v>0</v>
      </c>
      <c r="N30" s="226">
        <v>0</v>
      </c>
      <c r="O30" s="226">
        <v>0</v>
      </c>
      <c r="P30" s="227">
        <v>0</v>
      </c>
      <c r="Q30" s="227">
        <v>0</v>
      </c>
      <c r="R30" s="227">
        <v>0</v>
      </c>
      <c r="S30" s="227">
        <v>0</v>
      </c>
      <c r="T30" s="226">
        <v>0</v>
      </c>
      <c r="U30" s="226">
        <v>0</v>
      </c>
      <c r="V30" s="226">
        <v>0</v>
      </c>
      <c r="W30" s="226">
        <v>0</v>
      </c>
      <c r="X30" s="226">
        <v>0</v>
      </c>
      <c r="Y30" s="56">
        <f t="shared" si="4"/>
        <v>11529</v>
      </c>
      <c r="Z30" s="55" t="s">
        <v>156</v>
      </c>
    </row>
    <row r="31" spans="1:26" x14ac:dyDescent="0.25">
      <c r="A31" s="432" t="s">
        <v>170</v>
      </c>
      <c r="B31" s="432"/>
      <c r="C31" s="432"/>
      <c r="D31" s="432"/>
      <c r="E31" s="432"/>
      <c r="F31" s="432"/>
      <c r="G31" s="432"/>
      <c r="H31" s="432"/>
      <c r="I31" s="432"/>
      <c r="J31" s="432"/>
      <c r="K31" s="56">
        <f t="shared" ref="K31:O31" si="6">K5+K3</f>
        <v>1782385.4589492748</v>
      </c>
      <c r="L31" s="56">
        <f t="shared" si="6"/>
        <v>47711</v>
      </c>
      <c r="M31" s="56">
        <f t="shared" si="6"/>
        <v>312059.91615478887</v>
      </c>
      <c r="N31" s="56">
        <f t="shared" si="6"/>
        <v>348624.68468579603</v>
      </c>
      <c r="O31" s="56">
        <f t="shared" si="6"/>
        <v>304659.95329480909</v>
      </c>
      <c r="P31" s="56">
        <f t="shared" ref="P31:X31" si="7">P5+P3</f>
        <v>104423.65764849124</v>
      </c>
      <c r="Q31" s="56">
        <f t="shared" si="7"/>
        <v>107444.7928483049</v>
      </c>
      <c r="R31" s="56">
        <f t="shared" si="7"/>
        <v>111742.58456223711</v>
      </c>
      <c r="S31" s="56">
        <f t="shared" si="7"/>
        <v>116212.2879447266</v>
      </c>
      <c r="T31" s="56">
        <f t="shared" si="7"/>
        <v>63637.330331459983</v>
      </c>
      <c r="U31" s="56">
        <f t="shared" si="7"/>
        <v>62609.562091815897</v>
      </c>
      <c r="V31" s="56">
        <f t="shared" si="7"/>
        <v>65113.944575488531</v>
      </c>
      <c r="W31" s="56">
        <f t="shared" si="7"/>
        <v>67718.502358508078</v>
      </c>
      <c r="X31" s="56">
        <f t="shared" si="7"/>
        <v>70427.242452848397</v>
      </c>
      <c r="Y31" s="56">
        <f>Y5+Y3</f>
        <v>1782385.4589492748</v>
      </c>
    </row>
  </sheetData>
  <mergeCells count="16">
    <mergeCell ref="A31:J31"/>
    <mergeCell ref="B5:J5"/>
    <mergeCell ref="A1:A2"/>
    <mergeCell ref="B1:B2"/>
    <mergeCell ref="C1:C2"/>
    <mergeCell ref="D1:D2"/>
    <mergeCell ref="E1:E2"/>
    <mergeCell ref="B3:J3"/>
    <mergeCell ref="Z1:Z2"/>
    <mergeCell ref="F1:F2"/>
    <mergeCell ref="G1:G2"/>
    <mergeCell ref="H1:H2"/>
    <mergeCell ref="I1:I2"/>
    <mergeCell ref="J1:J2"/>
    <mergeCell ref="K1:K2"/>
    <mergeCell ref="L1:Y1"/>
  </mergeCells>
  <phoneticPr fontId="33" type="noConversion"/>
  <dataValidations count="5">
    <dataValidation type="list" allowBlank="1" showInputMessage="1" showErrorMessage="1" sqref="B4 B6:B30">
      <formula1>РСО</formula1>
    </dataValidation>
    <dataValidation type="list" allowBlank="1" showInputMessage="1" showErrorMessage="1" sqref="C4 C6:C30">
      <formula1>Группа</formula1>
    </dataValidation>
    <dataValidation type="list" allowBlank="1" showInputMessage="1" showErrorMessage="1" sqref="D4 D6:D30">
      <formula1>Сроки</formula1>
    </dataValidation>
    <dataValidation type="list" allowBlank="1" showInputMessage="1" showErrorMessage="1" sqref="I4 I6:I30">
      <formula1>Фин</formula1>
    </dataValidation>
    <dataValidation type="list" allowBlank="1" showInputMessage="1" showErrorMessage="1" sqref="Z4:Z30">
      <formula1>"Сети, Объект"</formula1>
    </dataValidation>
  </dataValidations>
  <pageMargins left="0.7" right="0.7" top="0.75" bottom="0.75" header="0.3" footer="0.3"/>
  <pageSetup paperSize="9" scale="2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3 Y 5 S V F u M a R e m A A A A + A A A A B I A H A B D b 2 5 m a W c v U G F j a 2 F n Z S 5 4 b W w g o h g A K K A U A A A A A A A A A A A A A A A A A A A A A A A A A A A A h Y + 9 D o I w G E V f h X S n f 4 R o y E c Z X C U x G o 0 r K R U a o R h o L e / m 4 C P 5 C p I o 6 u Z 4 T 8 5 w 7 u N 2 h 2 x s m + C q + k F 3 J k U M U x Q o I 7 t S m y p F z p 7 C J c o E b A p 5 L i o V T L I Z k n E o U 1 R b e 0 k I 8 d 5 j H + G u r w i n l J F j v t 7 J W r U F + s j 6 v x x q M 9 j C S I U E H F 4 x g u M F w 3 H M I x x T B m T G k G v z V f h U j C m Q H w g r 1 1 j X K 9 G 7 c L s H M k 8 g 7 x f i C V B L A w Q U A A I A C A D d j l J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3 Y 5 S V C i K R 7 g O A A A A E Q A A A B M A H A B G b 3 J t d W x h c y 9 T Z W N 0 a W 9 u M S 5 t I K I Y A C i g F A A A A A A A A A A A A A A A A A A A A A A A A A A A A C t O T S 7 J z M 9 T C I b Q h t Y A U E s B A i 0 A F A A C A A g A 3 Y 5 S V F u M a R e m A A A A + A A A A B I A A A A A A A A A A A A A A A A A A A A A A E N v b m Z p Z y 9 Q Y W N r Y W d l L n h t b F B L A Q I t A B Q A A g A I A N 2 O U l Q P y u m r p A A A A O k A A A A T A A A A A A A A A A A A A A A A A P I A A A B b Q 2 9 u d G V u d F 9 U e X B l c 1 0 u e G 1 s U E s B A i 0 A F A A C A A g A 3 Y 5 S V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1 a r 2 q P V u l B i G n 1 C U z E H Z U A A A A A A g A A A A A A A 2 Y A A M A A A A A Q A A A A 7 K Z + 6 y 8 j r e W v i 9 i Z N b L S i w A A A A A E g A A A o A A A A B A A A A A 0 b E F r W A E w G D i q 2 l 3 A F U P a U A A A A D z V D 7 Q n 6 F A 5 e J + N N a 6 L 4 s Z b g J q A V v b U u z x X 3 n B t h v d O 9 + X 6 a f C Z 8 n S 7 h d D f S L y b G p E 6 Q J 5 m 5 2 q d x U a g s 5 g m l + v t 6 m w r 8 B d u 6 B x 0 0 i s / t F 6 r F A A A A F a 3 v A H j s u T t e w 2 8 0 l v w W G J o q Q B L < / D a t a M a s h u p > 
</file>

<file path=customXml/itemProps1.xml><?xml version="1.0" encoding="utf-8"?>
<ds:datastoreItem xmlns:ds="http://schemas.openxmlformats.org/officeDocument/2006/customXml" ds:itemID="{FED3EFBA-32C2-4127-B331-36D12CE6F8C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8</vt:i4>
      </vt:variant>
    </vt:vector>
  </HeadingPairs>
  <TitlesOfParts>
    <vt:vector size="24" baseType="lpstr">
      <vt:lpstr>Руководство</vt:lpstr>
      <vt:lpstr>Население</vt:lpstr>
      <vt:lpstr>Статистика</vt:lpstr>
      <vt:lpstr>Перспективное строительство</vt:lpstr>
      <vt:lpstr>Спрос</vt:lpstr>
      <vt:lpstr>ЦП</vt:lpstr>
      <vt:lpstr>Амортизация</vt:lpstr>
      <vt:lpstr>Перечень инв.проектов ТС</vt:lpstr>
      <vt:lpstr>Перечень инв.проектов ВС</vt:lpstr>
      <vt:lpstr>Перечень инв.проектов ВО</vt:lpstr>
      <vt:lpstr>Перечень инв.проектов ГС</vt:lpstr>
      <vt:lpstr>Перечень инв.проектов ТКО</vt:lpstr>
      <vt:lpstr>Перечень инв.проектов ЭЭ</vt:lpstr>
      <vt:lpstr>Фин.потребности</vt:lpstr>
      <vt:lpstr>Программа инв. проектов</vt:lpstr>
      <vt:lpstr>Доступность</vt:lpstr>
      <vt:lpstr>Группа</vt:lpstr>
      <vt:lpstr>Группа1</vt:lpstr>
      <vt:lpstr>РСО</vt:lpstr>
      <vt:lpstr>РСО1</vt:lpstr>
      <vt:lpstr>Сроки</vt:lpstr>
      <vt:lpstr>Сроки1</vt:lpstr>
      <vt:lpstr>Фи</vt:lpstr>
      <vt:lpstr>Фин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Бочков Алексей Игоревич</cp:lastModifiedBy>
  <cp:revision/>
  <cp:lastPrinted>2022-11-01T08:05:12Z</cp:lastPrinted>
  <dcterms:created xsi:type="dcterms:W3CDTF">2019-07-22T11:59:57Z</dcterms:created>
  <dcterms:modified xsi:type="dcterms:W3CDTF">2023-09-15T12:24:51Z</dcterms:modified>
  <cp:category/>
  <cp:contentStatus/>
</cp:coreProperties>
</file>