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60" windowWidth="19440" windowHeight="11295" activeTab="5"/>
  </bookViews>
  <sheets>
    <sheet name="ЗП" sheetId="2" r:id="rId1"/>
    <sheet name="ГОРЛЕС" sheetId="1" r:id="rId2"/>
    <sheet name="прил 1" sheetId="3" r:id="rId3"/>
    <sheet name="прил 2" sheetId="4" r:id="rId4"/>
    <sheet name="прил 3" sheetId="5" r:id="rId5"/>
    <sheet name="прил 4" sheetId="6" r:id="rId6"/>
    <sheet name="Лист5" sheetId="8" r:id="rId7"/>
  </sheets>
  <definedNames>
    <definedName name="_xlnm.Print_Area" localSheetId="2">'прил 1'!$A$1:$S$60</definedName>
    <definedName name="_xlnm.Print_Area" localSheetId="3">'прил 2'!$A$1:$D$84</definedName>
    <definedName name="_xlnm.Print_Area" localSheetId="4">'прил 3'!$A$1:$I$86</definedName>
  </definedNames>
  <calcPr calcId="145621"/>
</workbook>
</file>

<file path=xl/calcChain.xml><?xml version="1.0" encoding="utf-8"?>
<calcChain xmlns="http://schemas.openxmlformats.org/spreadsheetml/2006/main">
  <c r="C7" i="8" l="1"/>
  <c r="B7" i="8" s="1"/>
  <c r="C6" i="8"/>
  <c r="B6" i="8" s="1"/>
  <c r="C5" i="8"/>
  <c r="B5" i="8" s="1"/>
  <c r="C4" i="8"/>
  <c r="B4" i="8" s="1"/>
  <c r="B8" i="8" l="1"/>
  <c r="B10" i="8" s="1"/>
  <c r="I23" i="1"/>
  <c r="I19" i="1"/>
  <c r="I6" i="1"/>
  <c r="I13" i="1" l="1"/>
  <c r="D34" i="2"/>
  <c r="D36" i="2" s="1"/>
  <c r="D17" i="2"/>
  <c r="D8" i="2"/>
  <c r="D31" i="2" s="1"/>
  <c r="D30" i="2"/>
  <c r="H14" i="6"/>
  <c r="F14" i="2"/>
  <c r="E20" i="2" s="1"/>
  <c r="F20" i="2" s="1"/>
  <c r="K7" i="1" s="1"/>
  <c r="F13" i="2"/>
  <c r="E21" i="2" s="1"/>
  <c r="F21" i="2" s="1"/>
  <c r="L7" i="1" s="1"/>
  <c r="G53" i="3"/>
  <c r="E22" i="2" l="1"/>
  <c r="D37" i="2" l="1"/>
  <c r="E78" i="5" l="1"/>
  <c r="H78" i="5"/>
  <c r="H79" i="5"/>
  <c r="H80" i="5"/>
  <c r="H81" i="5"/>
  <c r="H83" i="5"/>
  <c r="E84" i="5"/>
  <c r="H84" i="5"/>
  <c r="H77" i="5"/>
  <c r="E77" i="5"/>
  <c r="D79" i="5"/>
  <c r="D80" i="5"/>
  <c r="D81" i="5"/>
  <c r="D82" i="5"/>
  <c r="D83" i="5"/>
  <c r="D84" i="5"/>
  <c r="D85" i="5"/>
  <c r="D86" i="5"/>
  <c r="E74" i="5"/>
  <c r="E72" i="5"/>
  <c r="E71" i="5"/>
  <c r="E70" i="5"/>
  <c r="E69" i="5"/>
  <c r="E68" i="5"/>
  <c r="O42" i="3"/>
  <c r="O39" i="3"/>
  <c r="O38" i="3"/>
  <c r="O37" i="3"/>
  <c r="O33" i="3"/>
  <c r="O32" i="3"/>
  <c r="G42" i="3"/>
  <c r="G38" i="3"/>
  <c r="G39" i="3"/>
  <c r="G37" i="3"/>
  <c r="G33" i="3"/>
  <c r="G32" i="3"/>
  <c r="P35" i="3"/>
  <c r="E42" i="3"/>
  <c r="E38" i="3"/>
  <c r="E39" i="3"/>
  <c r="E37" i="3"/>
  <c r="E33" i="3"/>
  <c r="E32" i="3"/>
  <c r="O27" i="3"/>
  <c r="O28" i="3"/>
  <c r="O29" i="3"/>
  <c r="O30" i="3"/>
  <c r="O26" i="3"/>
  <c r="M27" i="3"/>
  <c r="M28" i="3"/>
  <c r="M29" i="3"/>
  <c r="M30" i="3"/>
  <c r="M26" i="3"/>
  <c r="K27" i="3"/>
  <c r="K28" i="3"/>
  <c r="K29" i="3"/>
  <c r="K30" i="3"/>
  <c r="K26" i="3"/>
  <c r="I27" i="3"/>
  <c r="I28" i="3"/>
  <c r="I29" i="3"/>
  <c r="I30" i="3"/>
  <c r="I26" i="3"/>
  <c r="G27" i="3"/>
  <c r="G28" i="3"/>
  <c r="G29" i="3"/>
  <c r="G30" i="3"/>
  <c r="G26" i="3"/>
  <c r="E27" i="3"/>
  <c r="E28" i="3"/>
  <c r="E29" i="3"/>
  <c r="E30" i="3"/>
  <c r="E26" i="3"/>
  <c r="O14" i="3"/>
  <c r="O15" i="3"/>
  <c r="O16" i="3"/>
  <c r="O17" i="3"/>
  <c r="O19" i="3"/>
  <c r="O20" i="3"/>
  <c r="O13" i="3"/>
  <c r="M14" i="3"/>
  <c r="M15" i="3"/>
  <c r="M16" i="3"/>
  <c r="M17" i="3"/>
  <c r="M19" i="3"/>
  <c r="M20" i="3"/>
  <c r="M13" i="3"/>
  <c r="K14" i="3"/>
  <c r="K15" i="3"/>
  <c r="K16" i="3"/>
  <c r="K17" i="3"/>
  <c r="K19" i="3"/>
  <c r="K20" i="3"/>
  <c r="K13" i="3"/>
  <c r="I14" i="3"/>
  <c r="I15" i="3"/>
  <c r="I16" i="3"/>
  <c r="I17" i="3"/>
  <c r="I19" i="3"/>
  <c r="I20" i="3"/>
  <c r="I13" i="3"/>
  <c r="G14" i="3"/>
  <c r="G15" i="3"/>
  <c r="G16" i="3"/>
  <c r="G17" i="3"/>
  <c r="G19" i="3"/>
  <c r="G20" i="3"/>
  <c r="G13" i="3"/>
  <c r="E14" i="3"/>
  <c r="E15" i="3"/>
  <c r="E16" i="3"/>
  <c r="E17" i="3"/>
  <c r="E19" i="3"/>
  <c r="E20" i="3"/>
  <c r="E13" i="3"/>
  <c r="O53" i="3"/>
  <c r="O35" i="3"/>
  <c r="P34" i="3"/>
  <c r="O34" i="3"/>
  <c r="C12" i="3"/>
  <c r="H19" i="6"/>
  <c r="I53" i="3" l="1"/>
  <c r="K53" i="3"/>
  <c r="M53" i="3"/>
  <c r="C37" i="4"/>
  <c r="D29" i="3"/>
  <c r="M23" i="1"/>
  <c r="H19" i="5" s="1"/>
  <c r="M11" i="1"/>
  <c r="L11" i="1" s="1"/>
  <c r="M10" i="1"/>
  <c r="J6" i="1"/>
  <c r="J8" i="1"/>
  <c r="J9" i="1"/>
  <c r="L9" i="1" s="1"/>
  <c r="J12" i="1"/>
  <c r="J13" i="1"/>
  <c r="C40" i="4" s="1"/>
  <c r="J14" i="1"/>
  <c r="J15" i="1"/>
  <c r="J16" i="1"/>
  <c r="J17" i="1"/>
  <c r="J18" i="1"/>
  <c r="J19" i="1"/>
  <c r="J20" i="1"/>
  <c r="J21" i="1"/>
  <c r="K21" i="1" s="1"/>
  <c r="J22" i="1"/>
  <c r="L22" i="1" s="1"/>
  <c r="C44" i="4" s="1"/>
  <c r="L15" i="1"/>
  <c r="F15" i="5" l="1"/>
  <c r="F26" i="5" s="1"/>
  <c r="F20" i="5"/>
  <c r="F31" i="5" s="1"/>
  <c r="C52" i="4"/>
  <c r="K22" i="1"/>
  <c r="J11" i="1"/>
  <c r="H16" i="5"/>
  <c r="J10" i="1"/>
  <c r="L10" i="1"/>
  <c r="N29" i="3"/>
  <c r="F29" i="3"/>
  <c r="L29" i="3"/>
  <c r="J29" i="3"/>
  <c r="P29" i="3"/>
  <c r="H29" i="3"/>
  <c r="L5" i="1"/>
  <c r="L19" i="1"/>
  <c r="F37" i="5" l="1"/>
  <c r="F48" i="5"/>
  <c r="F59" i="5"/>
  <c r="F40" i="5"/>
  <c r="F51" i="5"/>
  <c r="F73" i="5" s="1"/>
  <c r="G73" i="5" s="1"/>
  <c r="I73" i="5" s="1"/>
  <c r="F70" i="5"/>
  <c r="G70" i="5" s="1"/>
  <c r="I70" i="5" s="1"/>
  <c r="F42" i="5"/>
  <c r="F22" i="2"/>
  <c r="F23" i="2" l="1"/>
  <c r="F81" i="5"/>
  <c r="H31" i="5"/>
  <c r="H86" i="5" s="1"/>
  <c r="C64" i="4"/>
  <c r="C34" i="4"/>
  <c r="K5" i="1" l="1"/>
  <c r="I5" i="1" s="1"/>
  <c r="M20" i="6" l="1"/>
  <c r="M21" i="6"/>
  <c r="M22" i="6"/>
  <c r="M23" i="6"/>
  <c r="M24" i="6"/>
  <c r="M25" i="6"/>
  <c r="M26" i="6"/>
  <c r="M27" i="6"/>
  <c r="M28" i="6"/>
  <c r="M29" i="6"/>
  <c r="M30" i="6"/>
  <c r="M31" i="6"/>
  <c r="F63" i="5"/>
  <c r="F52" i="5"/>
  <c r="E63" i="5"/>
  <c r="E61" i="5"/>
  <c r="E60" i="5"/>
  <c r="E59" i="5"/>
  <c r="E58" i="5"/>
  <c r="E57" i="5"/>
  <c r="C19" i="4"/>
  <c r="M34" i="3"/>
  <c r="E43" i="3"/>
  <c r="E41" i="3"/>
  <c r="E40" i="3"/>
  <c r="M35" i="3"/>
  <c r="G35" i="3"/>
  <c r="G34" i="3"/>
  <c r="M33" i="3"/>
  <c r="M37" i="3"/>
  <c r="M38" i="3"/>
  <c r="M39" i="3"/>
  <c r="M42" i="3"/>
  <c r="M32" i="3"/>
  <c r="K33" i="3"/>
  <c r="K37" i="3"/>
  <c r="K38" i="3"/>
  <c r="K39" i="3"/>
  <c r="K42" i="3"/>
  <c r="K32" i="3"/>
  <c r="I33" i="3"/>
  <c r="I37" i="3"/>
  <c r="I38" i="3"/>
  <c r="I39" i="3"/>
  <c r="I42" i="3"/>
  <c r="I32" i="3"/>
  <c r="E12" i="3" l="1"/>
  <c r="O12" i="3"/>
  <c r="O25" i="3"/>
  <c r="O31" i="3"/>
  <c r="E25" i="3"/>
  <c r="G25" i="3"/>
  <c r="I25" i="3"/>
  <c r="K25" i="3"/>
  <c r="M25" i="3"/>
  <c r="G59" i="5"/>
  <c r="I59" i="5" s="1"/>
  <c r="O11" i="3" l="1"/>
  <c r="O21" i="3"/>
  <c r="O24" i="3"/>
  <c r="C20" i="4"/>
  <c r="C18" i="4"/>
  <c r="D33" i="3"/>
  <c r="D34" i="3"/>
  <c r="S34" i="3" s="1"/>
  <c r="D35" i="3"/>
  <c r="S35" i="3" s="1"/>
  <c r="D36" i="3"/>
  <c r="F36" i="3" s="1"/>
  <c r="R36" i="3" s="1"/>
  <c r="D37" i="3"/>
  <c r="D38" i="3"/>
  <c r="D39" i="3"/>
  <c r="D40" i="3"/>
  <c r="F40" i="3" s="1"/>
  <c r="R40" i="3" s="1"/>
  <c r="D41" i="3"/>
  <c r="F41" i="3" s="1"/>
  <c r="R41" i="3" s="1"/>
  <c r="D42" i="3"/>
  <c r="D43" i="3"/>
  <c r="F43" i="3" s="1"/>
  <c r="R43" i="3" s="1"/>
  <c r="D32" i="3"/>
  <c r="D27" i="3"/>
  <c r="D28" i="3"/>
  <c r="D30" i="3"/>
  <c r="D26" i="3"/>
  <c r="D14" i="3"/>
  <c r="S14" i="3" s="1"/>
  <c r="D15" i="3"/>
  <c r="D16" i="3"/>
  <c r="D17" i="3"/>
  <c r="D18" i="3"/>
  <c r="D19" i="3"/>
  <c r="S19" i="3" s="1"/>
  <c r="D20" i="3"/>
  <c r="D13" i="3"/>
  <c r="D12" i="3" l="1"/>
  <c r="F18" i="3"/>
  <c r="R18" i="3" s="1"/>
  <c r="D31" i="3"/>
  <c r="H15" i="3"/>
  <c r="F15" i="3"/>
  <c r="P15" i="3"/>
  <c r="N15" i="3"/>
  <c r="L15" i="3"/>
  <c r="S42" i="3"/>
  <c r="P42" i="3"/>
  <c r="H42" i="3"/>
  <c r="F42" i="3"/>
  <c r="S39" i="3"/>
  <c r="P39" i="3"/>
  <c r="H39" i="3"/>
  <c r="F39" i="3"/>
  <c r="S38" i="3"/>
  <c r="F38" i="3"/>
  <c r="P38" i="3"/>
  <c r="H38" i="3"/>
  <c r="S37" i="3"/>
  <c r="H37" i="3"/>
  <c r="P37" i="3"/>
  <c r="F37" i="3"/>
  <c r="S33" i="3"/>
  <c r="P33" i="3"/>
  <c r="H33" i="3"/>
  <c r="F33" i="3"/>
  <c r="P32" i="3"/>
  <c r="H32" i="3"/>
  <c r="F32" i="3"/>
  <c r="S20" i="3"/>
  <c r="N20" i="3"/>
  <c r="P20" i="3"/>
  <c r="L20" i="3"/>
  <c r="H20" i="3"/>
  <c r="F20" i="3"/>
  <c r="H19" i="3"/>
  <c r="P19" i="3"/>
  <c r="L19" i="3"/>
  <c r="N19" i="3"/>
  <c r="F19" i="3"/>
  <c r="P17" i="3"/>
  <c r="H17" i="3"/>
  <c r="N17" i="3"/>
  <c r="L17" i="3"/>
  <c r="F17" i="3"/>
  <c r="S16" i="3"/>
  <c r="F16" i="3"/>
  <c r="N16" i="3"/>
  <c r="H16" i="3"/>
  <c r="P16" i="3"/>
  <c r="L16" i="3"/>
  <c r="N14" i="3"/>
  <c r="P14" i="3"/>
  <c r="H14" i="3"/>
  <c r="L14" i="3"/>
  <c r="F14" i="3"/>
  <c r="H13" i="3"/>
  <c r="P13" i="3"/>
  <c r="L13" i="3"/>
  <c r="N13" i="3"/>
  <c r="F13" i="3"/>
  <c r="N30" i="3"/>
  <c r="J30" i="3"/>
  <c r="F30" i="3"/>
  <c r="P30" i="3"/>
  <c r="L30" i="3"/>
  <c r="H30" i="3"/>
  <c r="S28" i="3"/>
  <c r="P28" i="3"/>
  <c r="N28" i="3"/>
  <c r="L28" i="3"/>
  <c r="J28" i="3"/>
  <c r="H28" i="3"/>
  <c r="F28" i="3"/>
  <c r="L27" i="3"/>
  <c r="N27" i="3"/>
  <c r="F27" i="3"/>
  <c r="P27" i="3"/>
  <c r="H27" i="3"/>
  <c r="J27" i="3"/>
  <c r="P26" i="3"/>
  <c r="L26" i="3"/>
  <c r="H26" i="3"/>
  <c r="N26" i="3"/>
  <c r="J26" i="3"/>
  <c r="F26" i="3"/>
  <c r="O47" i="3"/>
  <c r="D25" i="3"/>
  <c r="S26" i="3"/>
  <c r="S18" i="3"/>
  <c r="S15" i="3"/>
  <c r="S43" i="3"/>
  <c r="Q43" i="3" s="1"/>
  <c r="S41" i="3"/>
  <c r="Q41" i="3" s="1"/>
  <c r="J20" i="3"/>
  <c r="J16" i="3"/>
  <c r="N39" i="3"/>
  <c r="L39" i="3"/>
  <c r="J39" i="3"/>
  <c r="N35" i="3"/>
  <c r="H35" i="3"/>
  <c r="S13" i="3"/>
  <c r="J13" i="3"/>
  <c r="J17" i="3"/>
  <c r="S32" i="3"/>
  <c r="N32" i="3"/>
  <c r="L32" i="3"/>
  <c r="J32" i="3"/>
  <c r="J14" i="3"/>
  <c r="N37" i="3"/>
  <c r="L37" i="3"/>
  <c r="J37" i="3"/>
  <c r="N33" i="3"/>
  <c r="L33" i="3"/>
  <c r="J33" i="3"/>
  <c r="J19" i="3"/>
  <c r="N42" i="3"/>
  <c r="L42" i="3"/>
  <c r="J42" i="3"/>
  <c r="N38" i="3"/>
  <c r="L38" i="3"/>
  <c r="J38" i="3"/>
  <c r="H34" i="3"/>
  <c r="N34" i="3"/>
  <c r="S40" i="3"/>
  <c r="Q40" i="3" s="1"/>
  <c r="S36" i="3"/>
  <c r="Q36" i="3" s="1"/>
  <c r="S17" i="3"/>
  <c r="S30" i="3"/>
  <c r="S27" i="3"/>
  <c r="Q18" i="3" l="1"/>
  <c r="D44" i="3"/>
  <c r="D45" i="3" s="1"/>
  <c r="R15" i="3"/>
  <c r="Q15" i="3" s="1"/>
  <c r="P25" i="3"/>
  <c r="P31" i="3"/>
  <c r="P12" i="3"/>
  <c r="R34" i="3"/>
  <c r="Q34" i="3" s="1"/>
  <c r="J25" i="3"/>
  <c r="H25" i="3"/>
  <c r="F22" i="5" s="1"/>
  <c r="J23" i="5" s="1"/>
  <c r="F25" i="3"/>
  <c r="F11" i="5" s="1"/>
  <c r="N25" i="3"/>
  <c r="L25" i="3"/>
  <c r="R30" i="3"/>
  <c r="Q30" i="3" s="1"/>
  <c r="R28" i="3"/>
  <c r="Q28" i="3" s="1"/>
  <c r="R27" i="3"/>
  <c r="Q27" i="3" s="1"/>
  <c r="R26" i="3"/>
  <c r="Q26" i="3" s="1"/>
  <c r="R16" i="3"/>
  <c r="Q16" i="3" s="1"/>
  <c r="R42" i="3"/>
  <c r="Q42" i="3" s="1"/>
  <c r="R37" i="3"/>
  <c r="Q37" i="3" s="1"/>
  <c r="R38" i="3"/>
  <c r="Q38" i="3" s="1"/>
  <c r="R33" i="3"/>
  <c r="Q33" i="3" s="1"/>
  <c r="R32" i="3"/>
  <c r="Q32" i="3" s="1"/>
  <c r="R13" i="3"/>
  <c r="Q13" i="3" s="1"/>
  <c r="R39" i="3"/>
  <c r="Q39" i="3" s="1"/>
  <c r="R19" i="3"/>
  <c r="Q19" i="3" s="1"/>
  <c r="R14" i="3"/>
  <c r="Q14" i="3" s="1"/>
  <c r="R17" i="3"/>
  <c r="Q17" i="3" s="1"/>
  <c r="R35" i="3"/>
  <c r="Q35" i="3" s="1"/>
  <c r="R20" i="3"/>
  <c r="Q20" i="3" s="1"/>
  <c r="N31" i="3"/>
  <c r="M31" i="3"/>
  <c r="N12" i="3"/>
  <c r="N21" i="3" s="1"/>
  <c r="N22" i="3" s="1"/>
  <c r="M12" i="3"/>
  <c r="M21" i="3" s="1"/>
  <c r="L31" i="3"/>
  <c r="K31" i="3"/>
  <c r="L12" i="3"/>
  <c r="L21" i="3" s="1"/>
  <c r="L22" i="3" s="1"/>
  <c r="K12" i="3"/>
  <c r="K21" i="3" s="1"/>
  <c r="J11" i="5" l="1"/>
  <c r="F12" i="5" s="1"/>
  <c r="F44" i="5"/>
  <c r="F55" i="5"/>
  <c r="F33" i="5"/>
  <c r="F66" i="5"/>
  <c r="F23" i="5"/>
  <c r="P24" i="3"/>
  <c r="P44" i="3"/>
  <c r="P45" i="3" s="1"/>
  <c r="P21" i="3"/>
  <c r="P22" i="3" s="1"/>
  <c r="P11" i="3"/>
  <c r="L11" i="3"/>
  <c r="N23" i="3"/>
  <c r="N44" i="3"/>
  <c r="N45" i="3" s="1"/>
  <c r="N24" i="3"/>
  <c r="L44" i="3"/>
  <c r="L45" i="3" s="1"/>
  <c r="K24" i="3"/>
  <c r="M24" i="3"/>
  <c r="N11" i="3"/>
  <c r="M11" i="3"/>
  <c r="K11" i="3"/>
  <c r="L24" i="3"/>
  <c r="L23" i="3"/>
  <c r="F34" i="5" l="1"/>
  <c r="F67" i="5"/>
  <c r="F56" i="5"/>
  <c r="F45" i="5"/>
  <c r="P47" i="3"/>
  <c r="N47" i="3"/>
  <c r="N53" i="3"/>
  <c r="L47" i="3"/>
  <c r="M47" i="3"/>
  <c r="N48" i="3"/>
  <c r="K47" i="3"/>
  <c r="C25" i="3"/>
  <c r="C31" i="3"/>
  <c r="F12" i="3"/>
  <c r="F21" i="3" s="1"/>
  <c r="F22" i="3" s="1"/>
  <c r="H12" i="3"/>
  <c r="H21" i="3" s="1"/>
  <c r="H22" i="3" s="1"/>
  <c r="J12" i="3"/>
  <c r="J21" i="3" s="1"/>
  <c r="J22" i="3" s="1"/>
  <c r="D21" i="3"/>
  <c r="D22" i="3" s="1"/>
  <c r="D53" i="3" s="1"/>
  <c r="E31" i="3"/>
  <c r="F31" i="3"/>
  <c r="J12" i="5" s="1"/>
  <c r="D12" i="5" s="1"/>
  <c r="G31" i="3"/>
  <c r="H31" i="3"/>
  <c r="D22" i="5" s="1"/>
  <c r="I31" i="3"/>
  <c r="J31" i="3"/>
  <c r="D33" i="5" s="1"/>
  <c r="C11" i="3"/>
  <c r="E52" i="5"/>
  <c r="E85" i="5" s="1"/>
  <c r="G51" i="5"/>
  <c r="I51" i="5" s="1"/>
  <c r="E50" i="5"/>
  <c r="E83" i="5" s="1"/>
  <c r="E49" i="5"/>
  <c r="E82" i="5" s="1"/>
  <c r="E48" i="5"/>
  <c r="E81" i="5" s="1"/>
  <c r="E47" i="5"/>
  <c r="E80" i="5" s="1"/>
  <c r="E46" i="5"/>
  <c r="E79" i="5" s="1"/>
  <c r="C63" i="4"/>
  <c r="C60" i="4"/>
  <c r="D55" i="5" l="1"/>
  <c r="J33" i="5"/>
  <c r="D66" i="5"/>
  <c r="G66" i="5" s="1"/>
  <c r="I66" i="5" s="1"/>
  <c r="J22" i="5"/>
  <c r="D23" i="5" s="1"/>
  <c r="D67" i="5" s="1"/>
  <c r="D34" i="5"/>
  <c r="D44" i="5"/>
  <c r="G44" i="5" s="1"/>
  <c r="I44" i="5" s="1"/>
  <c r="D11" i="5"/>
  <c r="P23" i="3"/>
  <c r="P46" i="3"/>
  <c r="L53" i="3"/>
  <c r="P48" i="3"/>
  <c r="P49" i="3" s="1"/>
  <c r="P53" i="3"/>
  <c r="D48" i="3"/>
  <c r="D55" i="3"/>
  <c r="G55" i="5"/>
  <c r="I55" i="5" s="1"/>
  <c r="N49" i="3"/>
  <c r="N46" i="3"/>
  <c r="L46" i="3"/>
  <c r="L48" i="3"/>
  <c r="L49" i="3" s="1"/>
  <c r="F41" i="5"/>
  <c r="G41" i="5" s="1"/>
  <c r="G19" i="5"/>
  <c r="G52" i="5"/>
  <c r="J24" i="3"/>
  <c r="F24" i="3"/>
  <c r="H24" i="3"/>
  <c r="J44" i="3"/>
  <c r="J45" i="3" s="1"/>
  <c r="F44" i="3"/>
  <c r="F45" i="3" s="1"/>
  <c r="D24" i="3"/>
  <c r="J11" i="3"/>
  <c r="H11" i="3"/>
  <c r="F11" i="3"/>
  <c r="D11" i="3"/>
  <c r="D47" i="3" s="1"/>
  <c r="C24" i="3"/>
  <c r="C47" i="3" s="1"/>
  <c r="H44" i="3"/>
  <c r="H45" i="3" s="1"/>
  <c r="I24" i="3"/>
  <c r="G24" i="3"/>
  <c r="E24" i="3"/>
  <c r="G12" i="3"/>
  <c r="I12" i="3"/>
  <c r="G37" i="5"/>
  <c r="I37" i="5" s="1"/>
  <c r="F30" i="5"/>
  <c r="G40" i="5"/>
  <c r="G48" i="5"/>
  <c r="I48" i="5" s="1"/>
  <c r="C79" i="4"/>
  <c r="D56" i="5" l="1"/>
  <c r="D54" i="5" s="1"/>
  <c r="D17" i="6" s="1"/>
  <c r="G56" i="5"/>
  <c r="I56" i="5" s="1"/>
  <c r="F74" i="5"/>
  <c r="G74" i="5" s="1"/>
  <c r="D49" i="3"/>
  <c r="G67" i="5"/>
  <c r="I67" i="5" s="1"/>
  <c r="D45" i="5"/>
  <c r="D78" i="5" s="1"/>
  <c r="D77" i="5"/>
  <c r="D65" i="5"/>
  <c r="D18" i="6" s="1"/>
  <c r="F48" i="3"/>
  <c r="J53" i="3"/>
  <c r="H47" i="3"/>
  <c r="H53" i="3"/>
  <c r="F47" i="3"/>
  <c r="J47" i="3"/>
  <c r="I40" i="5"/>
  <c r="G33" i="5"/>
  <c r="I33" i="5" s="1"/>
  <c r="G22" i="5"/>
  <c r="I22" i="5" s="1"/>
  <c r="G26" i="5"/>
  <c r="I26" i="5" s="1"/>
  <c r="G30" i="5"/>
  <c r="G63" i="5"/>
  <c r="I21" i="3"/>
  <c r="I11" i="3"/>
  <c r="I47" i="3" s="1"/>
  <c r="G21" i="3"/>
  <c r="G11" i="3"/>
  <c r="G47" i="3" s="1"/>
  <c r="E21" i="3"/>
  <c r="E11" i="3"/>
  <c r="E47" i="3" s="1"/>
  <c r="D23" i="3"/>
  <c r="G85" i="5" l="1"/>
  <c r="G45" i="5"/>
  <c r="I45" i="5" s="1"/>
  <c r="D43" i="5"/>
  <c r="D16" i="6" s="1"/>
  <c r="F85" i="5"/>
  <c r="E52" i="3"/>
  <c r="D76" i="5"/>
  <c r="F77" i="5"/>
  <c r="G34" i="5"/>
  <c r="I34" i="5" s="1"/>
  <c r="F53" i="3"/>
  <c r="G23" i="5"/>
  <c r="I23" i="5" s="1"/>
  <c r="H48" i="3"/>
  <c r="H49" i="3" s="1"/>
  <c r="F49" i="3"/>
  <c r="F46" i="3"/>
  <c r="J48" i="3"/>
  <c r="J49" i="3" s="1"/>
  <c r="D32" i="5"/>
  <c r="D15" i="6" s="1"/>
  <c r="D14" i="6" s="1"/>
  <c r="D10" i="5"/>
  <c r="D12" i="6" s="1"/>
  <c r="D21" i="5"/>
  <c r="D13" i="6" s="1"/>
  <c r="G11" i="5"/>
  <c r="G77" i="5" s="1"/>
  <c r="I77" i="5" s="1"/>
  <c r="D46" i="3"/>
  <c r="H46" i="3"/>
  <c r="J46" i="3"/>
  <c r="F23" i="3"/>
  <c r="D19" i="6" l="1"/>
  <c r="F78" i="5"/>
  <c r="E53" i="3"/>
  <c r="E55" i="3" s="1"/>
  <c r="G12" i="5"/>
  <c r="I11" i="5"/>
  <c r="H23" i="3"/>
  <c r="J23" i="3"/>
  <c r="I12" i="5" l="1"/>
  <c r="G78" i="5"/>
  <c r="I78" i="5" s="1"/>
  <c r="C13" i="4"/>
  <c r="C12" i="4"/>
  <c r="K78" i="5" l="1"/>
  <c r="M78" i="5" s="1"/>
  <c r="D60" i="4"/>
  <c r="D63" i="4"/>
  <c r="L13" i="1" l="1"/>
  <c r="C29" i="4"/>
  <c r="C58" i="4" s="1"/>
  <c r="J5" i="1"/>
  <c r="L17" i="1"/>
  <c r="F29" i="5" l="1"/>
  <c r="F62" i="5"/>
  <c r="C61" i="4"/>
  <c r="C80" i="4"/>
  <c r="C24" i="4"/>
  <c r="C54" i="4" s="1"/>
  <c r="C73" i="4" s="1"/>
  <c r="G62" i="5"/>
  <c r="I62" i="5" s="1"/>
  <c r="F40" i="4"/>
  <c r="C45" i="4"/>
  <c r="G15" i="5"/>
  <c r="G81" i="5" s="1"/>
  <c r="I81" i="5" s="1"/>
  <c r="C77" i="4"/>
  <c r="D58" i="4"/>
  <c r="L8" i="1"/>
  <c r="F14" i="5" s="1"/>
  <c r="L6" i="1"/>
  <c r="F13" i="5" s="1"/>
  <c r="L14" i="1"/>
  <c r="F17" i="5" s="1"/>
  <c r="L16" i="1"/>
  <c r="L18" i="1"/>
  <c r="L12" i="1"/>
  <c r="F18" i="5" l="1"/>
  <c r="G18" i="5" s="1"/>
  <c r="F32" i="4"/>
  <c r="F16" i="5"/>
  <c r="L24" i="1"/>
  <c r="G29" i="5"/>
  <c r="I29" i="5" s="1"/>
  <c r="D54" i="4"/>
  <c r="C33" i="4"/>
  <c r="F33" i="4"/>
  <c r="D61" i="4"/>
  <c r="C50" i="4"/>
  <c r="C62" i="4" s="1"/>
  <c r="C81" i="4" s="1"/>
  <c r="F61" i="5"/>
  <c r="G61" i="5" s="1"/>
  <c r="I61" i="5" s="1"/>
  <c r="F50" i="5"/>
  <c r="G50" i="5" s="1"/>
  <c r="I50" i="5" s="1"/>
  <c r="F39" i="5"/>
  <c r="G39" i="5" s="1"/>
  <c r="I39" i="5" s="1"/>
  <c r="G17" i="5"/>
  <c r="F28" i="5"/>
  <c r="C27" i="4"/>
  <c r="C57" i="4" s="1"/>
  <c r="I15" i="5"/>
  <c r="K20" i="1"/>
  <c r="C68" i="4"/>
  <c r="C48" i="4"/>
  <c r="C56" i="4" s="1"/>
  <c r="F84" i="5" l="1"/>
  <c r="G84" i="5"/>
  <c r="I84" i="5" s="1"/>
  <c r="G28" i="5"/>
  <c r="I28" i="5" s="1"/>
  <c r="F72" i="5"/>
  <c r="G72" i="5" s="1"/>
  <c r="I72" i="5" s="1"/>
  <c r="C15" i="4"/>
  <c r="K24" i="1"/>
  <c r="C31" i="4"/>
  <c r="C32" i="4"/>
  <c r="C75" i="4"/>
  <c r="D56" i="4"/>
  <c r="D64" i="4"/>
  <c r="C76" i="4"/>
  <c r="D57" i="4"/>
  <c r="I17" i="5"/>
  <c r="D62" i="4"/>
  <c r="F46" i="5"/>
  <c r="G13" i="5"/>
  <c r="F24" i="5"/>
  <c r="F57" i="5"/>
  <c r="F35" i="5"/>
  <c r="F53" i="5"/>
  <c r="F47" i="5"/>
  <c r="G47" i="5" s="1"/>
  <c r="I47" i="5" s="1"/>
  <c r="F58" i="5"/>
  <c r="G58" i="5" s="1"/>
  <c r="I58" i="5" s="1"/>
  <c r="G14" i="5"/>
  <c r="F36" i="5"/>
  <c r="G36" i="5" s="1"/>
  <c r="I36" i="5" s="1"/>
  <c r="F25" i="5"/>
  <c r="G83" i="5" l="1"/>
  <c r="I83" i="5" s="1"/>
  <c r="C83" i="4"/>
  <c r="E20" i="5"/>
  <c r="G20" i="5" s="1"/>
  <c r="F83" i="5"/>
  <c r="F68" i="5"/>
  <c r="G68" i="5" s="1"/>
  <c r="G25" i="5"/>
  <c r="I25" i="5" s="1"/>
  <c r="F69" i="5"/>
  <c r="G69" i="5" s="1"/>
  <c r="I69" i="5" s="1"/>
  <c r="F16" i="4"/>
  <c r="F64" i="5"/>
  <c r="I14" i="5"/>
  <c r="G35" i="5"/>
  <c r="G24" i="5"/>
  <c r="G46" i="5"/>
  <c r="G57" i="5"/>
  <c r="I57" i="5" s="1"/>
  <c r="I13" i="5"/>
  <c r="I18" i="5"/>
  <c r="G31" i="5" l="1"/>
  <c r="I31" i="5" s="1"/>
  <c r="G42" i="5"/>
  <c r="I42" i="5" s="1"/>
  <c r="G79" i="5"/>
  <c r="I79" i="5" s="1"/>
  <c r="I20" i="5"/>
  <c r="F80" i="5"/>
  <c r="G80" i="5"/>
  <c r="I80" i="5" s="1"/>
  <c r="F79" i="5"/>
  <c r="F75" i="5"/>
  <c r="F86" i="5" s="1"/>
  <c r="I68" i="5"/>
  <c r="E10" i="5"/>
  <c r="E12" i="6" s="1"/>
  <c r="C12" i="6" s="1"/>
  <c r="K12" i="6" s="1"/>
  <c r="E53" i="5"/>
  <c r="E64" i="5"/>
  <c r="E42" i="5"/>
  <c r="E32" i="5" s="1"/>
  <c r="E15" i="6" s="1"/>
  <c r="E31" i="5"/>
  <c r="I24" i="5"/>
  <c r="I35" i="5"/>
  <c r="I46" i="5"/>
  <c r="C15" i="6" l="1"/>
  <c r="E43" i="5"/>
  <c r="E16" i="6" s="1"/>
  <c r="C16" i="6" s="1"/>
  <c r="K16" i="6" s="1"/>
  <c r="G53" i="5"/>
  <c r="I53" i="5" s="1"/>
  <c r="E54" i="5"/>
  <c r="E17" i="6" s="1"/>
  <c r="C17" i="6" s="1"/>
  <c r="G64" i="5"/>
  <c r="I64" i="5" s="1"/>
  <c r="E21" i="5"/>
  <c r="E13" i="6" s="1"/>
  <c r="C13" i="6" s="1"/>
  <c r="K13" i="6" s="1"/>
  <c r="E75" i="5"/>
  <c r="K17" i="6"/>
  <c r="C35" i="4"/>
  <c r="C59" i="4" s="1"/>
  <c r="D65" i="4"/>
  <c r="E14" i="6" l="1"/>
  <c r="K15" i="6"/>
  <c r="K14" i="6" s="1"/>
  <c r="C14" i="6"/>
  <c r="E65" i="5"/>
  <c r="E18" i="6" s="1"/>
  <c r="C18" i="6" s="1"/>
  <c r="K18" i="6" s="1"/>
  <c r="G75" i="5"/>
  <c r="I75" i="5" s="1"/>
  <c r="E86" i="5"/>
  <c r="E76" i="5" s="1"/>
  <c r="F10" i="5"/>
  <c r="F12" i="6" s="1"/>
  <c r="G12" i="6" s="1"/>
  <c r="D59" i="4"/>
  <c r="C69" i="4"/>
  <c r="C78" i="4" s="1"/>
  <c r="F49" i="5"/>
  <c r="H27" i="5"/>
  <c r="F38" i="5"/>
  <c r="F60" i="5"/>
  <c r="H60" i="5"/>
  <c r="G16" i="5"/>
  <c r="F27" i="5"/>
  <c r="H49" i="5"/>
  <c r="E19" i="6" l="1"/>
  <c r="C19" i="6" s="1"/>
  <c r="K19" i="6" s="1"/>
  <c r="G86" i="5"/>
  <c r="H71" i="5"/>
  <c r="F71" i="5"/>
  <c r="G71" i="5" s="1"/>
  <c r="L12" i="6"/>
  <c r="M12" i="6" s="1"/>
  <c r="G60" i="5"/>
  <c r="F54" i="5"/>
  <c r="F17" i="6" s="1"/>
  <c r="G17" i="6" s="1"/>
  <c r="G27" i="5"/>
  <c r="F21" i="5"/>
  <c r="F13" i="6" s="1"/>
  <c r="I16" i="5"/>
  <c r="G10" i="5"/>
  <c r="F32" i="5"/>
  <c r="F15" i="6" s="1"/>
  <c r="G38" i="5"/>
  <c r="G49" i="5"/>
  <c r="F43" i="5"/>
  <c r="F16" i="6" s="1"/>
  <c r="L16" i="6" s="1"/>
  <c r="H38" i="5"/>
  <c r="F14" i="6" l="1"/>
  <c r="H82" i="5"/>
  <c r="G82" i="5"/>
  <c r="G76" i="5" s="1"/>
  <c r="I86" i="5"/>
  <c r="L15" i="6"/>
  <c r="F65" i="5"/>
  <c r="F18" i="6" s="1"/>
  <c r="F19" i="6" s="1"/>
  <c r="F82" i="5"/>
  <c r="F76" i="5" s="1"/>
  <c r="I71" i="5"/>
  <c r="G65" i="5"/>
  <c r="G13" i="6"/>
  <c r="L13" i="6"/>
  <c r="M13" i="6" s="1"/>
  <c r="L17" i="6"/>
  <c r="M17" i="6" s="1"/>
  <c r="G15" i="6"/>
  <c r="M16" i="6"/>
  <c r="G16" i="6"/>
  <c r="G21" i="5"/>
  <c r="I27" i="5"/>
  <c r="G43" i="5"/>
  <c r="I49" i="5"/>
  <c r="I38" i="5"/>
  <c r="G32" i="5"/>
  <c r="I60" i="5"/>
  <c r="G54" i="5"/>
  <c r="I82" i="5" l="1"/>
  <c r="G14" i="6"/>
  <c r="M15" i="6"/>
  <c r="M14" i="6" s="1"/>
  <c r="L14" i="6"/>
  <c r="G18" i="6"/>
  <c r="L18" i="6"/>
  <c r="M18" i="6" s="1"/>
  <c r="L19" i="6"/>
  <c r="M19" i="6" s="1"/>
  <c r="G19" i="6"/>
  <c r="I7" i="1" l="1"/>
  <c r="O5" i="1" s="1"/>
  <c r="C25" i="4"/>
  <c r="C55" i="4" s="1"/>
  <c r="J7" i="1" l="1"/>
  <c r="I24" i="1"/>
  <c r="G84" i="4" s="1"/>
  <c r="C66" i="4"/>
  <c r="D55" i="4"/>
  <c r="D66" i="4" s="1"/>
  <c r="C74" i="4"/>
  <c r="M24" i="1"/>
  <c r="I19" i="5"/>
  <c r="J23" i="1"/>
  <c r="C70" i="4"/>
  <c r="C82" i="4" s="1"/>
  <c r="C84" i="4" l="1"/>
  <c r="C71" i="4"/>
  <c r="H52" i="5"/>
  <c r="H43" i="5" s="1"/>
  <c r="I16" i="6" s="1"/>
  <c r="J16" i="6" s="1"/>
  <c r="N16" i="6" s="1"/>
  <c r="L76" i="5"/>
  <c r="J24" i="1"/>
  <c r="O24" i="1" s="1"/>
  <c r="H10" i="5"/>
  <c r="H30" i="5"/>
  <c r="H63" i="5"/>
  <c r="H74" i="5" l="1"/>
  <c r="H65" i="5" s="1"/>
  <c r="I18" i="6" s="1"/>
  <c r="J18" i="6" s="1"/>
  <c r="N18" i="6" s="1"/>
  <c r="I52" i="5"/>
  <c r="I43" i="5" s="1"/>
  <c r="G85" i="4"/>
  <c r="F41" i="4" s="1"/>
  <c r="H54" i="5"/>
  <c r="I17" i="6" s="1"/>
  <c r="J17" i="6" s="1"/>
  <c r="N17" i="6" s="1"/>
  <c r="I63" i="5"/>
  <c r="I54" i="5" s="1"/>
  <c r="I12" i="6"/>
  <c r="J12" i="6" s="1"/>
  <c r="N12" i="6" s="1"/>
  <c r="I10" i="5"/>
  <c r="I30" i="5"/>
  <c r="H21" i="5"/>
  <c r="H41" i="5"/>
  <c r="H85" i="5" s="1"/>
  <c r="I74" i="5" l="1"/>
  <c r="I65" i="5" s="1"/>
  <c r="I21" i="5"/>
  <c r="I13" i="6"/>
  <c r="J13" i="6" s="1"/>
  <c r="N13" i="6" s="1"/>
  <c r="I41" i="5"/>
  <c r="I32" i="5" s="1"/>
  <c r="H32" i="5"/>
  <c r="I15" i="6" s="1"/>
  <c r="I14" i="6" s="1"/>
  <c r="I19" i="6" l="1"/>
  <c r="J19" i="6" s="1"/>
  <c r="I85" i="5"/>
  <c r="I76" i="5" s="1"/>
  <c r="K76" i="5" s="1"/>
  <c r="H76" i="5"/>
  <c r="N19" i="6"/>
  <c r="J15" i="6"/>
  <c r="M76" i="5" l="1"/>
  <c r="N15" i="6"/>
  <c r="N14" i="6" s="1"/>
  <c r="J14" i="6"/>
</calcChain>
</file>

<file path=xl/sharedStrings.xml><?xml version="1.0" encoding="utf-8"?>
<sst xmlns="http://schemas.openxmlformats.org/spreadsheetml/2006/main" count="483" uniqueCount="208">
  <si>
    <t>Код 
муниципальной 
услуги</t>
  </si>
  <si>
    <t>Рз/Пр</t>
  </si>
  <si>
    <t>КОСГУ</t>
  </si>
  <si>
    <t>Суб
КОСГУ</t>
  </si>
  <si>
    <t>Тип
средств</t>
  </si>
  <si>
    <t>в том числе</t>
  </si>
  <si>
    <t>Затраты на содержание имущества</t>
  </si>
  <si>
    <t>Затраты на 
услуги (работы)</t>
  </si>
  <si>
    <t>Прямые</t>
  </si>
  <si>
    <t>Общехозяйственные</t>
  </si>
  <si>
    <t>001</t>
  </si>
  <si>
    <t>08.01</t>
  </si>
  <si>
    <t>01.00.00</t>
  </si>
  <si>
    <t>№ п/п</t>
  </si>
  <si>
    <t xml:space="preserve">Наименование должности/ 
категории
</t>
  </si>
  <si>
    <t>Всего годовой ФОТ</t>
  </si>
  <si>
    <t>Директор</t>
  </si>
  <si>
    <t>Заместитель директора по финансово-экономическим вопросам</t>
  </si>
  <si>
    <t>Заместитель директора</t>
  </si>
  <si>
    <t>Начальник хозяйственного отдела</t>
  </si>
  <si>
    <t>Итого АУП</t>
  </si>
  <si>
    <t>Инженер</t>
  </si>
  <si>
    <t>Архивариус</t>
  </si>
  <si>
    <t>Специалист по охране труда</t>
  </si>
  <si>
    <t>Инженер-механик</t>
  </si>
  <si>
    <t>Специалист по кадрам</t>
  </si>
  <si>
    <t>Мастер леса</t>
  </si>
  <si>
    <t>Лесник</t>
  </si>
  <si>
    <t>Итого специалистов</t>
  </si>
  <si>
    <t>Рабочий зеленого хозяйства</t>
  </si>
  <si>
    <t>Рабочий по комплексному обслуживанию здания</t>
  </si>
  <si>
    <t>Водитель автомобиля</t>
  </si>
  <si>
    <t>Водитель погрузчика</t>
  </si>
  <si>
    <t>Уборщик служебных помещений</t>
  </si>
  <si>
    <t>Слесарь-ремонтник</t>
  </si>
  <si>
    <t>Слесарь-электрик по ремонту электрооборудования</t>
  </si>
  <si>
    <t>Техник</t>
  </si>
  <si>
    <t>Сторож</t>
  </si>
  <si>
    <t>Вахтер</t>
  </si>
  <si>
    <t>Плотник</t>
  </si>
  <si>
    <t>Дворник</t>
  </si>
  <si>
    <t>Итого МОП</t>
  </si>
  <si>
    <t>Всего</t>
  </si>
  <si>
    <t>прямые затраты</t>
  </si>
  <si>
    <t>НЕТ</t>
  </si>
  <si>
    <t>нет</t>
  </si>
  <si>
    <t>да</t>
  </si>
  <si>
    <t>ДА</t>
  </si>
  <si>
    <t>зп</t>
  </si>
  <si>
    <t>начис</t>
  </si>
  <si>
    <t>Субсидия на выполнение муниципального задания по оказанию муниципальной услуги 
"ГОРЛЕС"</t>
  </si>
  <si>
    <t>Приложение 1</t>
  </si>
  <si>
    <t>к Порядку определения нормативных затрат</t>
  </si>
  <si>
    <t>на оказание муниципальной услуги и нормативных затрат</t>
  </si>
  <si>
    <t>на содержание имущества муниципальных учреждений</t>
  </si>
  <si>
    <t>РАСЧЕТ 
нормативных затрат на оплату труда и начисления на оплату труда персонала, 
принимающего непосредственное участие в оказании муниципальной услуги</t>
  </si>
  <si>
    <t>Наименование должности</t>
  </si>
  <si>
    <t>Штатная численность (ед.)</t>
  </si>
  <si>
    <t>Годовой фонд оплаты труда за счет средств бюджета (тыс. руб.)</t>
  </si>
  <si>
    <t>В том числе по муниципальным услугам</t>
  </si>
  <si>
    <t>Затраты на оплату труда (тыс. руб.)</t>
  </si>
  <si>
    <t>Основной персонал (категория персонала, должность), в том числе:</t>
  </si>
  <si>
    <t>1.1.</t>
  </si>
  <si>
    <t>Специалисты</t>
  </si>
  <si>
    <t>Итого оплата труда основного персонала:</t>
  </si>
  <si>
    <t>Начисления на выплаты по оплате труда основного персонала</t>
  </si>
  <si>
    <t>х</t>
  </si>
  <si>
    <t>Итого оплата труда с начислениями</t>
  </si>
  <si>
    <t>Вспомогательный персонал (категория персонала, должность) в том числе:</t>
  </si>
  <si>
    <t>2.1.</t>
  </si>
  <si>
    <t>АУП</t>
  </si>
  <si>
    <t>2.2.</t>
  </si>
  <si>
    <t>Итого оплата труда вспомогательного персонала:</t>
  </si>
  <si>
    <t>Начисления на выплаты по оплате труда вспомогательного персонала</t>
  </si>
  <si>
    <t>Приложение 2</t>
  </si>
  <si>
    <t>Распределение нормативных затрат в соответствии с КОСГУ, исчисленных нормативным и структурным методами в пределах лимитов бюджетных 
ассигнований на планируемый период</t>
  </si>
  <si>
    <t>Наименование статей расходов</t>
  </si>
  <si>
    <t>Лимиты бюджетных ассигнований, тыс. руб.</t>
  </si>
  <si>
    <t>Доля затрат, пропорционально относимых к оплате труда и начислениям основного персонала, %</t>
  </si>
  <si>
    <t>1. Нормативные затраты на оказание муниципальной услуги</t>
  </si>
  <si>
    <t>1.1.Нормативные затраты непосредственно связанные с оказанием муниципальной услуги</t>
  </si>
  <si>
    <t>1.1.1. Нормативные затраты на оплату труда и начисления на выплаты по оплате труда основного персонала</t>
  </si>
  <si>
    <t>Оплата труда</t>
  </si>
  <si>
    <t>Начисления на оплату труда</t>
  </si>
  <si>
    <t>1.1.2.      Нормативные затраты на приобретение материальных запасов</t>
  </si>
  <si>
    <t>Приобретение расходных материалов</t>
  </si>
  <si>
    <t xml:space="preserve">1.1.3.Иные нормативные затраты </t>
  </si>
  <si>
    <t>Прочие выплаты</t>
  </si>
  <si>
    <t>Транспортные услуги</t>
  </si>
  <si>
    <t>Прочие работы, услуги</t>
  </si>
  <si>
    <t>Прочие расходы</t>
  </si>
  <si>
    <t>1.2.Нормативные затраты на общехозяйственные нужды</t>
  </si>
  <si>
    <t>1.2.1. Нормативные затраты на оплату труда и начисления на выплаты по оплате труда работников, которые не принимают непосредственного участия в оказании муниципальной услуги</t>
  </si>
  <si>
    <t>1.2.2.Нормативные затраты на оказание услуг связи</t>
  </si>
  <si>
    <t>Услуги связи</t>
  </si>
  <si>
    <t>1.2.3.Нормативные затраты на приобретение транспортных услуг</t>
  </si>
  <si>
    <t>1.2.4.Нормативные затраты на коммунальные услуги</t>
  </si>
  <si>
    <t>Холодное водоснабжение</t>
  </si>
  <si>
    <t>Горячее водоснабжение</t>
  </si>
  <si>
    <t>Водоотведение</t>
  </si>
  <si>
    <t>Потребление тепловой энергии (50% от общих затрат)</t>
  </si>
  <si>
    <t>Потребление электрической энергии (90% от общих затрат)</t>
  </si>
  <si>
    <t>1.2.5.Нормативные затраты на содержание недвижимого имущества</t>
  </si>
  <si>
    <t>Эксплуатация системы охранной сигнализации и противопожарной безопасности</t>
  </si>
  <si>
    <t>Проведение текущего ремонта объектов недвижимости</t>
  </si>
  <si>
    <t>Аренда недвижимого имущества</t>
  </si>
  <si>
    <t>Содержание прилегающей территории, в соответствии с утвержденными санитарными правилами и нормами</t>
  </si>
  <si>
    <t>Прочие нормативные затраты на содержание недвижимого имущества (расшифровать)</t>
  </si>
  <si>
    <t>1.2.6.Нормативные затраты на содержание особо ценного движимого имущества</t>
  </si>
  <si>
    <t>Техническое обслуживание и текущий ремонт</t>
  </si>
  <si>
    <t>Материальные запасы не связанные с оказанием муниципальной услуги</t>
  </si>
  <si>
    <t>Страхование ОСАГО</t>
  </si>
  <si>
    <t>Прочие затраты (расшифровать)</t>
  </si>
  <si>
    <t>1.2.7.Прочие нормативные затраты на общехозяйственные нужды</t>
  </si>
  <si>
    <t>Аренда имущества</t>
  </si>
  <si>
    <t>Итого затраты на общехозяйственные нужды, в т.ч.</t>
  </si>
  <si>
    <t>Начисления на выплаты по оплате труда</t>
  </si>
  <si>
    <t>Коммунальные услуги</t>
  </si>
  <si>
    <t>Арендная плата за пользование имуществом</t>
  </si>
  <si>
    <t>Работы, услуги по содержанию имущества</t>
  </si>
  <si>
    <t>Увеличение стоимости материальных запасов</t>
  </si>
  <si>
    <t>Итого</t>
  </si>
  <si>
    <t>Всего по разделу 1</t>
  </si>
  <si>
    <t>2.Определение нормативных затрат на содержание имущества муниципального учреждения</t>
  </si>
  <si>
    <t>Потребление электрической энергии (10% от общих затрат)</t>
  </si>
  <si>
    <t>Налог на имущество, земельный налог</t>
  </si>
  <si>
    <t>Всего по разделу 2</t>
  </si>
  <si>
    <t>ИТОГО утвержденные лимиты бюджетных ассигнований в разрезе КОСГУ</t>
  </si>
  <si>
    <t>Итого расходов по 1 и 2 разделам</t>
  </si>
  <si>
    <t>Приложение 3</t>
  </si>
  <si>
    <t>Исходные данные и результаты расчетов объемов нормативных затрат  на оказание муниципальных услуг в разрезе КОСГУ</t>
  </si>
  <si>
    <t>№</t>
  </si>
  <si>
    <t>Наименование муниципальной услуги</t>
  </si>
  <si>
    <t>Нормативные затраты на материальные запасы и иные</t>
  </si>
  <si>
    <t>Затраты на общехозяйственные нужды</t>
  </si>
  <si>
    <t>Итого нормативные затраты на оказание муниципальной услуги</t>
  </si>
  <si>
    <t>Сумма финансового обеспечения выполнения муниципального задания</t>
  </si>
  <si>
    <t>7 = сумма граф 4,5,6</t>
  </si>
  <si>
    <t>9 = сумма граф 7,8</t>
  </si>
  <si>
    <t>Итого:</t>
  </si>
  <si>
    <t>Единица измерения показателя объема</t>
  </si>
  <si>
    <t>Нормативные затраты, непосредственно связанные с оказанием муниципальной услуги</t>
  </si>
  <si>
    <t>В том числе</t>
  </si>
  <si>
    <t>Объем муниципальной услуги</t>
  </si>
  <si>
    <t>Нормативные затраты на единицу услуги</t>
  </si>
  <si>
    <t>Нормативные затраты на оплату труда и начисления на выплаты по оплате труда</t>
  </si>
  <si>
    <t>Нормативные затраты непосредственно связанные с оказанием муниципальной услуги</t>
  </si>
  <si>
    <t>Итого нормативные затраты на выполнение муниципальной услуги</t>
  </si>
  <si>
    <t>Тыс. руб.</t>
  </si>
  <si>
    <t>Ед.</t>
  </si>
  <si>
    <t>руб.</t>
  </si>
  <si>
    <t xml:space="preserve"> руб.</t>
  </si>
  <si>
    <t>1а</t>
  </si>
  <si>
    <t>2а</t>
  </si>
  <si>
    <t>2б</t>
  </si>
  <si>
    <t>8=гр.2/гр.5</t>
  </si>
  <si>
    <t>9=гр.3/гр.5</t>
  </si>
  <si>
    <t>10=гр.8+гр.9</t>
  </si>
  <si>
    <t>Итого отчетный финансовый год</t>
  </si>
  <si>
    <t>Услуга №1</t>
  </si>
  <si>
    <t>Услуга №2</t>
  </si>
  <si>
    <t>Итого текущий финансовый год</t>
  </si>
  <si>
    <t>Итого очередной финансовый год</t>
  </si>
  <si>
    <t>Итого первый год планового периода</t>
  </si>
  <si>
    <t>Итого второй год планового периода</t>
  </si>
  <si>
    <t>Рабочие</t>
  </si>
  <si>
    <t>Итого по организации</t>
  </si>
  <si>
    <t>Муниципальная работа 
"Тушение лесных пожаров"</t>
  </si>
  <si>
    <t>Муниципальная работа "Устройство, прочистка и обновление противопожарных минерализованных полос"</t>
  </si>
  <si>
    <t>Муниципальная работа "Снижение природной пожарной опасности лесов путем регулирования породного состава лесных насаждений и проведения санитарно-оздоровительных мероприятий"</t>
  </si>
  <si>
    <t>Муниципальная работа 
"Обеспечение соблюдения лесного законодательства, выявление нарушений и принятие мер в соответствии с законодательством"</t>
  </si>
  <si>
    <t>по МАУ "Городское лесничество"</t>
  </si>
  <si>
    <t>Расходы на содержание имущества</t>
  </si>
  <si>
    <t>Муниципальная работа "Установка и размещение стендов и других знаков и указателей, содержащих информацию о мерах пожарной безопасности в лесах"</t>
  </si>
  <si>
    <t>один из них 30% интенсивность</t>
  </si>
  <si>
    <t>единица</t>
  </si>
  <si>
    <t>гектар</t>
  </si>
  <si>
    <t>километров</t>
  </si>
  <si>
    <t>Итого базовые нормативные затраты на оказание муниципальной услуги</t>
  </si>
  <si>
    <t>Значение отраслевого коэффициента</t>
  </si>
  <si>
    <t>11=гр.4/гр.7</t>
  </si>
  <si>
    <t>Начальник участка</t>
  </si>
  <si>
    <t xml:space="preserve"> </t>
  </si>
  <si>
    <t>Инженер паркового хозяйства</t>
  </si>
  <si>
    <t>КВР</t>
  </si>
  <si>
    <t>Код субсидии</t>
  </si>
  <si>
    <t>070.10.0001</t>
  </si>
  <si>
    <t>070.10.0011</t>
  </si>
  <si>
    <t>по МАУ "Городское лесничество" на 2019 год</t>
  </si>
  <si>
    <t xml:space="preserve">Муниципальная работа 
"Тушение лесных пожаров" </t>
  </si>
  <si>
    <t xml:space="preserve">  Муниципальная работа "Устройство, прочистка и обновление противопожарных минерализованных полос"</t>
  </si>
  <si>
    <t>Исполнитель:</t>
  </si>
  <si>
    <t>тел. (34675) 7-51-65</t>
  </si>
  <si>
    <t>Муниципальная работа "Обеспечение сохранности и целостности историко-архитектурного-комплекса, исторической среды и ландшафтов"</t>
  </si>
  <si>
    <t>прямые</t>
  </si>
  <si>
    <t>общехоз</t>
  </si>
  <si>
    <t>Нормативные затраты на оплату труда и начисления на выплату по оплате труда (прямые)</t>
  </si>
  <si>
    <t>квадратный метр</t>
  </si>
  <si>
    <t>Экономист ПЭО МКУ "Централизованная бухгалтерия" _________________ Ю.В. Лунина</t>
  </si>
  <si>
    <t>Снижение природной пожарной опасности лесов путем регулирования породного состава лесных насаждений и проведения санитарно-оздоровительных мероприятий"</t>
  </si>
  <si>
    <t>Установка и размещение стендов и других знаков и указателей, содержащих информацию о мерах пожарной безопасности в лесах"</t>
  </si>
  <si>
    <t>Устройство, прочистка и обновление противопожарных минерализованных полос"</t>
  </si>
  <si>
    <t>-</t>
  </si>
  <si>
    <t>Муниципальная работа "Предупреждение возникновения и распространения лесных пожаров, включая территорию ООПТ, в т.ч.:</t>
  </si>
  <si>
    <t>Приложение</t>
  </si>
  <si>
    <t>к Приказу ДМСиГ</t>
  </si>
  <si>
    <t>№ _________ от ____________________</t>
  </si>
  <si>
    <r>
      <t xml:space="preserve">Исходные данные и результаты расчетов объема нормативных затрат на единицу выполнения муниципальной работы и нормативных затрат на содержание имущества 
</t>
    </r>
    <r>
      <rPr>
        <b/>
        <u/>
        <sz val="10"/>
        <color indexed="8"/>
        <rFont val="Times New Roman"/>
        <family val="1"/>
        <charset val="204"/>
      </rPr>
      <t>МБУ "ФСК "Юность"</t>
    </r>
    <r>
      <rPr>
        <b/>
        <sz val="10"/>
        <color indexed="8"/>
        <rFont val="Times New Roman"/>
        <family val="1"/>
        <charset val="204"/>
      </rPr>
      <t xml:space="preserve">  
на 2015 год и плановый период 2016 и 2017 годов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</si>
</sst>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2"/>
      <color rgb="FFFF0000"/>
      <name val="Times New Roman"/>
      <family val="1"/>
    </font>
    <font>
      <sz val="12"/>
      <color rgb="FFFF0000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00">
    <xf numFmtId="0" fontId="0" fillId="0" borderId="0" xfId="0"/>
    <xf numFmtId="0" fontId="1" fillId="0" borderId="0" xfId="0" applyFont="1" applyBorder="1" applyAlignment="1"/>
    <xf numFmtId="0" fontId="0" fillId="0" borderId="0" xfId="0" applyBorder="1" applyAlignment="1"/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/>
    <xf numFmtId="0" fontId="2" fillId="2" borderId="0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/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4" fontId="4" fillId="0" borderId="0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/>
    <xf numFmtId="4" fontId="1" fillId="0" borderId="2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/>
    <xf numFmtId="0" fontId="4" fillId="0" borderId="0" xfId="0" applyFont="1" applyBorder="1" applyAlignment="1">
      <alignment horizontal="center" vertical="center"/>
    </xf>
    <xf numFmtId="22" fontId="4" fillId="0" borderId="0" xfId="0" applyNumberFormat="1" applyFont="1" applyBorder="1" applyAlignment="1"/>
    <xf numFmtId="49" fontId="4" fillId="0" borderId="0" xfId="0" applyNumberFormat="1" applyFont="1" applyBorder="1" applyAlignment="1">
      <alignment horizontal="center"/>
    </xf>
    <xf numFmtId="4" fontId="4" fillId="2" borderId="2" xfId="0" applyNumberFormat="1" applyFont="1" applyFill="1" applyBorder="1" applyAlignment="1"/>
    <xf numFmtId="4" fontId="0" fillId="0" borderId="0" xfId="0" applyNumberFormat="1"/>
    <xf numFmtId="0" fontId="0" fillId="0" borderId="2" xfId="0" applyBorder="1"/>
    <xf numFmtId="0" fontId="0" fillId="3" borderId="2" xfId="0" applyFill="1" applyBorder="1"/>
    <xf numFmtId="0" fontId="6" fillId="0" borderId="2" xfId="0" applyFont="1" applyBorder="1"/>
    <xf numFmtId="0" fontId="0" fillId="4" borderId="2" xfId="0" applyFill="1" applyBorder="1"/>
    <xf numFmtId="0" fontId="0" fillId="2" borderId="2" xfId="0" applyFill="1" applyBorder="1"/>
    <xf numFmtId="0" fontId="0" fillId="2" borderId="0" xfId="0" applyFill="1"/>
    <xf numFmtId="4" fontId="0" fillId="2" borderId="0" xfId="0" applyNumberFormat="1" applyFill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" fontId="4" fillId="2" borderId="0" xfId="0" applyNumberFormat="1" applyFont="1" applyFill="1" applyBorder="1" applyAlignment="1"/>
    <xf numFmtId="4" fontId="4" fillId="2" borderId="3" xfId="0" applyNumberFormat="1" applyFont="1" applyFill="1" applyBorder="1" applyAlignment="1"/>
    <xf numFmtId="0" fontId="2" fillId="0" borderId="0" xfId="0" applyFont="1"/>
    <xf numFmtId="0" fontId="2" fillId="0" borderId="0" xfId="0" applyFont="1" applyAlignment="1">
      <alignment horizontal="right"/>
    </xf>
    <xf numFmtId="0" fontId="9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7" fillId="0" borderId="7" xfId="0" applyFont="1" applyBorder="1"/>
    <xf numFmtId="164" fontId="13" fillId="0" borderId="2" xfId="0" applyNumberFormat="1" applyFont="1" applyFill="1" applyBorder="1" applyAlignment="1">
      <alignment horizontal="center" vertical="center" shrinkToFit="1"/>
    </xf>
    <xf numFmtId="164" fontId="15" fillId="2" borderId="2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15" fillId="0" borderId="7" xfId="0" applyFont="1" applyBorder="1"/>
    <xf numFmtId="164" fontId="15" fillId="0" borderId="2" xfId="0" applyNumberFormat="1" applyFont="1" applyBorder="1" applyAlignment="1">
      <alignment horizontal="center" vertical="center"/>
    </xf>
    <xf numFmtId="0" fontId="15" fillId="0" borderId="9" xfId="0" applyFont="1" applyBorder="1"/>
    <xf numFmtId="0" fontId="15" fillId="0" borderId="0" xfId="0" applyFont="1"/>
    <xf numFmtId="164" fontId="15" fillId="0" borderId="0" xfId="0" applyNumberFormat="1" applyFont="1"/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2" fillId="2" borderId="0" xfId="0" applyFont="1" applyFill="1"/>
    <xf numFmtId="0" fontId="18" fillId="0" borderId="0" xfId="0" applyFont="1"/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9" fillId="0" borderId="0" xfId="0" applyFont="1"/>
    <xf numFmtId="0" fontId="9" fillId="0" borderId="15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164" fontId="20" fillId="2" borderId="2" xfId="0" applyNumberFormat="1" applyFont="1" applyFill="1" applyBorder="1" applyAlignment="1">
      <alignment horizontal="center" vertical="center" wrapText="1"/>
    </xf>
    <xf numFmtId="164" fontId="18" fillId="0" borderId="0" xfId="0" applyNumberFormat="1" applyFont="1"/>
    <xf numFmtId="165" fontId="20" fillId="2" borderId="2" xfId="0" applyNumberFormat="1" applyFont="1" applyFill="1" applyBorder="1" applyAlignment="1">
      <alignment horizontal="center" vertical="center" wrapText="1"/>
    </xf>
    <xf numFmtId="4" fontId="18" fillId="0" borderId="0" xfId="0" applyNumberFormat="1" applyFont="1"/>
    <xf numFmtId="0" fontId="17" fillId="0" borderId="17" xfId="0" applyFont="1" applyBorder="1" applyAlignment="1">
      <alignment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15" fillId="0" borderId="0" xfId="0" applyFont="1" applyAlignment="1">
      <alignment horizontal="right" vertical="center" indent="5"/>
    </xf>
    <xf numFmtId="0" fontId="2" fillId="2" borderId="0" xfId="0" applyFont="1" applyFill="1" applyAlignment="1">
      <alignment horizontal="right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indent="5"/>
    </xf>
    <xf numFmtId="0" fontId="15" fillId="0" borderId="20" xfId="0" applyFont="1" applyBorder="1"/>
    <xf numFmtId="165" fontId="0" fillId="0" borderId="0" xfId="0" applyNumberFormat="1"/>
    <xf numFmtId="2" fontId="0" fillId="0" borderId="0" xfId="0" applyNumberFormat="1"/>
    <xf numFmtId="0" fontId="7" fillId="7" borderId="7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vertical="center" wrapText="1"/>
    </xf>
    <xf numFmtId="164" fontId="7" fillId="7" borderId="2" xfId="0" applyNumberFormat="1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vertical="center" wrapText="1"/>
    </xf>
    <xf numFmtId="0" fontId="0" fillId="6" borderId="2" xfId="0" applyFill="1" applyBorder="1"/>
    <xf numFmtId="164" fontId="14" fillId="6" borderId="2" xfId="0" applyNumberFormat="1" applyFont="1" applyFill="1" applyBorder="1" applyAlignment="1">
      <alignment horizontal="center" vertical="center"/>
    </xf>
    <xf numFmtId="0" fontId="15" fillId="7" borderId="7" xfId="0" applyFont="1" applyFill="1" applyBorder="1"/>
    <xf numFmtId="0" fontId="15" fillId="7" borderId="2" xfId="0" applyFont="1" applyFill="1" applyBorder="1" applyAlignment="1">
      <alignment wrapText="1"/>
    </xf>
    <xf numFmtId="164" fontId="15" fillId="7" borderId="2" xfId="0" applyNumberFormat="1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left" vertical="center" wrapText="1"/>
    </xf>
    <xf numFmtId="3" fontId="7" fillId="7" borderId="2" xfId="0" applyNumberFormat="1" applyFont="1" applyFill="1" applyBorder="1" applyAlignment="1">
      <alignment horizontal="center" vertical="center"/>
    </xf>
    <xf numFmtId="0" fontId="0" fillId="6" borderId="2" xfId="0" applyFill="1" applyBorder="1" applyAlignment="1">
      <alignment wrapText="1"/>
    </xf>
    <xf numFmtId="0" fontId="0" fillId="6" borderId="0" xfId="0" applyFill="1" applyBorder="1" applyAlignment="1">
      <alignment horizontal="center"/>
    </xf>
    <xf numFmtId="4" fontId="15" fillId="6" borderId="2" xfId="0" applyNumberFormat="1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164" fontId="15" fillId="6" borderId="2" xfId="0" applyNumberFormat="1" applyFont="1" applyFill="1" applyBorder="1" applyAlignment="1">
      <alignment horizontal="center" vertical="center"/>
    </xf>
    <xf numFmtId="0" fontId="15" fillId="7" borderId="2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wrapText="1"/>
    </xf>
    <xf numFmtId="0" fontId="15" fillId="7" borderId="3" xfId="0" applyFont="1" applyFill="1" applyBorder="1" applyAlignment="1">
      <alignment horizontal="center" vertical="center"/>
    </xf>
    <xf numFmtId="164" fontId="7" fillId="7" borderId="3" xfId="0" applyNumberFormat="1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wrapText="1"/>
    </xf>
    <xf numFmtId="164" fontId="7" fillId="7" borderId="10" xfId="0" applyNumberFormat="1" applyFont="1" applyFill="1" applyBorder="1" applyAlignment="1">
      <alignment horizontal="center" vertical="center"/>
    </xf>
    <xf numFmtId="4" fontId="7" fillId="7" borderId="10" xfId="0" applyNumberFormat="1" applyFont="1" applyFill="1" applyBorder="1" applyAlignment="1">
      <alignment horizontal="center"/>
    </xf>
    <xf numFmtId="4" fontId="7" fillId="7" borderId="2" xfId="0" applyNumberFormat="1" applyFont="1" applyFill="1" applyBorder="1" applyAlignment="1">
      <alignment horizontal="center" vertical="center"/>
    </xf>
    <xf numFmtId="4" fontId="13" fillId="0" borderId="2" xfId="0" applyNumberFormat="1" applyFont="1" applyFill="1" applyBorder="1" applyAlignment="1">
      <alignment horizontal="center" vertical="center" shrinkToFit="1"/>
    </xf>
    <xf numFmtId="0" fontId="22" fillId="0" borderId="0" xfId="0" applyFont="1"/>
    <xf numFmtId="164" fontId="15" fillId="0" borderId="0" xfId="0" applyNumberFormat="1" applyFont="1" applyAlignment="1">
      <alignment horizontal="center"/>
    </xf>
    <xf numFmtId="0" fontId="10" fillId="2" borderId="2" xfId="0" applyFont="1" applyFill="1" applyBorder="1" applyAlignment="1">
      <alignment horizontal="center" vertical="center" wrapText="1"/>
    </xf>
    <xf numFmtId="164" fontId="10" fillId="2" borderId="2" xfId="0" applyNumberFormat="1" applyFont="1" applyFill="1" applyBorder="1" applyAlignment="1">
      <alignment horizontal="center" vertical="center" wrapText="1"/>
    </xf>
    <xf numFmtId="164" fontId="10" fillId="2" borderId="8" xfId="0" applyNumberFormat="1" applyFont="1" applyFill="1" applyBorder="1" applyAlignment="1">
      <alignment horizontal="center" vertical="center" wrapText="1"/>
    </xf>
    <xf numFmtId="0" fontId="23" fillId="0" borderId="0" xfId="0" applyFont="1"/>
    <xf numFmtId="164" fontId="23" fillId="0" borderId="0" xfId="0" applyNumberFormat="1" applyFont="1"/>
    <xf numFmtId="0" fontId="9" fillId="2" borderId="10" xfId="0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vertical="center" wrapText="1"/>
    </xf>
    <xf numFmtId="0" fontId="20" fillId="2" borderId="15" xfId="0" applyFont="1" applyFill="1" applyBorder="1" applyAlignment="1">
      <alignment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164" fontId="20" fillId="2" borderId="16" xfId="0" applyNumberFormat="1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vertical="center" wrapText="1"/>
    </xf>
    <xf numFmtId="164" fontId="17" fillId="2" borderId="2" xfId="0" applyNumberFormat="1" applyFont="1" applyFill="1" applyBorder="1" applyAlignment="1">
      <alignment horizontal="center" vertical="center" wrapText="1"/>
    </xf>
    <xf numFmtId="164" fontId="9" fillId="5" borderId="2" xfId="0" applyNumberFormat="1" applyFont="1" applyFill="1" applyBorder="1" applyAlignment="1">
      <alignment horizontal="center" vertical="center" wrapText="1"/>
    </xf>
    <xf numFmtId="164" fontId="0" fillId="2" borderId="0" xfId="0" applyNumberFormat="1" applyFill="1"/>
    <xf numFmtId="0" fontId="16" fillId="3" borderId="2" xfId="0" applyFont="1" applyFill="1" applyBorder="1"/>
    <xf numFmtId="0" fontId="16" fillId="3" borderId="2" xfId="0" applyFont="1" applyFill="1" applyBorder="1" applyAlignment="1">
      <alignment horizontal="center"/>
    </xf>
    <xf numFmtId="4" fontId="16" fillId="3" borderId="2" xfId="0" applyNumberFormat="1" applyFont="1" applyFill="1" applyBorder="1"/>
    <xf numFmtId="0" fontId="16" fillId="3" borderId="2" xfId="0" applyFont="1" applyFill="1" applyBorder="1" applyAlignment="1">
      <alignment wrapText="1"/>
    </xf>
    <xf numFmtId="0" fontId="24" fillId="4" borderId="2" xfId="0" applyFont="1" applyFill="1" applyBorder="1"/>
    <xf numFmtId="0" fontId="16" fillId="4" borderId="2" xfId="0" applyFont="1" applyFill="1" applyBorder="1" applyAlignment="1">
      <alignment horizontal="center"/>
    </xf>
    <xf numFmtId="4" fontId="16" fillId="4" borderId="2" xfId="0" applyNumberFormat="1" applyFont="1" applyFill="1" applyBorder="1"/>
    <xf numFmtId="0" fontId="16" fillId="0" borderId="2" xfId="0" applyFont="1" applyBorder="1"/>
    <xf numFmtId="0" fontId="16" fillId="0" borderId="2" xfId="0" applyFont="1" applyBorder="1" applyAlignment="1">
      <alignment horizontal="center"/>
    </xf>
    <xf numFmtId="4" fontId="16" fillId="0" borderId="2" xfId="0" applyNumberFormat="1" applyFont="1" applyBorder="1"/>
    <xf numFmtId="0" fontId="16" fillId="2" borderId="2" xfId="0" applyFont="1" applyFill="1" applyBorder="1"/>
    <xf numFmtId="0" fontId="16" fillId="2" borderId="2" xfId="0" applyFont="1" applyFill="1" applyBorder="1" applyAlignment="1">
      <alignment horizontal="center"/>
    </xf>
    <xf numFmtId="4" fontId="16" fillId="2" borderId="2" xfId="0" applyNumberFormat="1" applyFont="1" applyFill="1" applyBorder="1"/>
    <xf numFmtId="0" fontId="24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/>
    </xf>
    <xf numFmtId="4" fontId="17" fillId="2" borderId="18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164" fontId="20" fillId="0" borderId="2" xfId="0" applyNumberFormat="1" applyFont="1" applyFill="1" applyBorder="1" applyAlignment="1">
      <alignment horizontal="center" vertical="center" wrapText="1"/>
    </xf>
    <xf numFmtId="164" fontId="17" fillId="0" borderId="2" xfId="0" applyNumberFormat="1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165" fontId="20" fillId="0" borderId="2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4" fontId="24" fillId="0" borderId="2" xfId="0" applyNumberFormat="1" applyFont="1" applyBorder="1" applyAlignment="1">
      <alignment horizontal="center" vertical="center" wrapText="1"/>
    </xf>
    <xf numFmtId="4" fontId="4" fillId="3" borderId="2" xfId="0" applyNumberFormat="1" applyFont="1" applyFill="1" applyBorder="1" applyAlignment="1"/>
    <xf numFmtId="164" fontId="20" fillId="3" borderId="2" xfId="0" applyNumberFormat="1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164" fontId="10" fillId="3" borderId="2" xfId="0" applyNumberFormat="1" applyFont="1" applyFill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center"/>
    </xf>
    <xf numFmtId="0" fontId="15" fillId="3" borderId="7" xfId="0" applyFont="1" applyFill="1" applyBorder="1"/>
    <xf numFmtId="0" fontId="15" fillId="3" borderId="2" xfId="0" applyFont="1" applyFill="1" applyBorder="1" applyAlignment="1">
      <alignment wrapText="1"/>
    </xf>
    <xf numFmtId="164" fontId="15" fillId="3" borderId="2" xfId="0" applyNumberFormat="1" applyFont="1" applyFill="1" applyBorder="1" applyAlignment="1">
      <alignment horizontal="center" vertical="center"/>
    </xf>
    <xf numFmtId="2" fontId="0" fillId="3" borderId="0" xfId="0" applyNumberFormat="1" applyFill="1"/>
    <xf numFmtId="165" fontId="0" fillId="3" borderId="0" xfId="0" applyNumberFormat="1" applyFill="1"/>
    <xf numFmtId="4" fontId="0" fillId="3" borderId="0" xfId="0" applyNumberFormat="1" applyFill="1"/>
    <xf numFmtId="0" fontId="0" fillId="3" borderId="0" xfId="0" applyFill="1"/>
    <xf numFmtId="0" fontId="15" fillId="3" borderId="2" xfId="0" applyFont="1" applyFill="1" applyBorder="1" applyAlignment="1">
      <alignment horizontal="center" vertical="center"/>
    </xf>
    <xf numFmtId="4" fontId="2" fillId="0" borderId="0" xfId="0" applyNumberFormat="1" applyFont="1"/>
    <xf numFmtId="4" fontId="7" fillId="0" borderId="24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25" fillId="0" borderId="0" xfId="0" applyFont="1"/>
    <xf numFmtId="4" fontId="25" fillId="0" borderId="0" xfId="0" applyNumberFormat="1" applyFont="1"/>
    <xf numFmtId="0" fontId="25" fillId="0" borderId="0" xfId="0" applyFont="1" applyAlignment="1">
      <alignment horizontal="left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4" fontId="2" fillId="0" borderId="0" xfId="0" applyNumberFormat="1" applyFont="1"/>
    <xf numFmtId="164" fontId="2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9" fillId="6" borderId="2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16" fillId="0" borderId="0" xfId="0" applyNumberFormat="1" applyFont="1"/>
    <xf numFmtId="4" fontId="17" fillId="2" borderId="10" xfId="0" applyNumberFormat="1" applyFont="1" applyFill="1" applyBorder="1" applyAlignment="1">
      <alignment horizontal="center" vertical="center" wrapText="1"/>
    </xf>
    <xf numFmtId="0" fontId="27" fillId="7" borderId="7" xfId="0" applyFont="1" applyFill="1" applyBorder="1" applyAlignment="1">
      <alignment horizontal="center"/>
    </xf>
    <xf numFmtId="0" fontId="27" fillId="7" borderId="2" xfId="0" applyFont="1" applyFill="1" applyBorder="1" applyAlignment="1">
      <alignment vertical="center" wrapText="1"/>
    </xf>
    <xf numFmtId="0" fontId="27" fillId="7" borderId="2" xfId="0" applyFont="1" applyFill="1" applyBorder="1" applyAlignment="1">
      <alignment horizontal="center" vertical="center"/>
    </xf>
    <xf numFmtId="164" fontId="27" fillId="7" borderId="2" xfId="0" applyNumberFormat="1" applyFont="1" applyFill="1" applyBorder="1" applyAlignment="1">
      <alignment horizontal="center" vertical="center"/>
    </xf>
    <xf numFmtId="2" fontId="28" fillId="0" borderId="0" xfId="0" applyNumberFormat="1" applyFont="1"/>
    <xf numFmtId="165" fontId="28" fillId="0" borderId="0" xfId="0" applyNumberFormat="1" applyFont="1"/>
    <xf numFmtId="4" fontId="28" fillId="0" borderId="0" xfId="0" applyNumberFormat="1" applyFont="1"/>
    <xf numFmtId="0" fontId="28" fillId="0" borderId="0" xfId="0" applyFont="1"/>
    <xf numFmtId="0" fontId="27" fillId="0" borderId="7" xfId="0" applyFont="1" applyBorder="1"/>
    <xf numFmtId="0" fontId="26" fillId="6" borderId="2" xfId="0" applyFont="1" applyFill="1" applyBorder="1"/>
    <xf numFmtId="164" fontId="29" fillId="0" borderId="2" xfId="0" applyNumberFormat="1" applyFont="1" applyFill="1" applyBorder="1" applyAlignment="1">
      <alignment horizontal="center" vertical="center" shrinkToFit="1"/>
    </xf>
    <xf numFmtId="164" fontId="30" fillId="6" borderId="2" xfId="0" applyNumberFormat="1" applyFont="1" applyFill="1" applyBorder="1" applyAlignment="1">
      <alignment horizontal="center" vertical="center"/>
    </xf>
    <xf numFmtId="164" fontId="30" fillId="2" borderId="2" xfId="0" applyNumberFormat="1" applyFont="1" applyFill="1" applyBorder="1" applyAlignment="1">
      <alignment horizontal="center" vertical="center"/>
    </xf>
    <xf numFmtId="0" fontId="28" fillId="6" borderId="2" xfId="0" applyFont="1" applyFill="1" applyBorder="1"/>
    <xf numFmtId="164" fontId="30" fillId="3" borderId="2" xfId="0" applyNumberFormat="1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7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4" fontId="32" fillId="2" borderId="2" xfId="0" applyNumberFormat="1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4" fontId="32" fillId="2" borderId="3" xfId="0" applyNumberFormat="1" applyFont="1" applyFill="1" applyBorder="1" applyAlignment="1">
      <alignment horizontal="center" vertical="center" wrapText="1"/>
    </xf>
    <xf numFmtId="4" fontId="17" fillId="2" borderId="2" xfId="0" applyNumberFormat="1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4" fontId="17" fillId="2" borderId="3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right"/>
    </xf>
    <xf numFmtId="4" fontId="10" fillId="0" borderId="2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/>
    </xf>
    <xf numFmtId="4" fontId="17" fillId="0" borderId="2" xfId="0" applyNumberFormat="1" applyFont="1" applyFill="1" applyBorder="1" applyAlignment="1">
      <alignment horizontal="center" vertical="center" wrapText="1"/>
    </xf>
    <xf numFmtId="4" fontId="32" fillId="0" borderId="2" xfId="0" applyNumberFormat="1" applyFont="1" applyFill="1" applyBorder="1" applyAlignment="1">
      <alignment horizontal="center" vertical="center" wrapText="1"/>
    </xf>
    <xf numFmtId="4" fontId="32" fillId="0" borderId="3" xfId="0" applyNumberFormat="1" applyFont="1" applyFill="1" applyBorder="1" applyAlignment="1">
      <alignment horizontal="center" vertical="center" wrapText="1"/>
    </xf>
    <xf numFmtId="4" fontId="17" fillId="0" borderId="3" xfId="0" applyNumberFormat="1" applyFont="1" applyFill="1" applyBorder="1" applyAlignment="1">
      <alignment horizontal="center" vertical="center" wrapText="1"/>
    </xf>
    <xf numFmtId="4" fontId="17" fillId="0" borderId="10" xfId="0" applyNumberFormat="1" applyFont="1" applyBorder="1" applyAlignment="1">
      <alignment horizontal="center" vertical="center" wrapText="1"/>
    </xf>
    <xf numFmtId="4" fontId="20" fillId="2" borderId="27" xfId="0" applyNumberFormat="1" applyFont="1" applyFill="1" applyBorder="1" applyAlignment="1">
      <alignment horizontal="center" vertical="center" wrapText="1"/>
    </xf>
    <xf numFmtId="4" fontId="20" fillId="2" borderId="8" xfId="0" applyNumberFormat="1" applyFont="1" applyFill="1" applyBorder="1" applyAlignment="1">
      <alignment horizontal="center" vertical="center" wrapText="1"/>
    </xf>
    <xf numFmtId="4" fontId="25" fillId="0" borderId="0" xfId="0" applyNumberFormat="1" applyFont="1" applyAlignment="1">
      <alignment horizontal="left"/>
    </xf>
    <xf numFmtId="4" fontId="1" fillId="0" borderId="8" xfId="0" applyNumberFormat="1" applyFont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" fontId="10" fillId="2" borderId="2" xfId="0" applyNumberFormat="1" applyFont="1" applyFill="1" applyBorder="1" applyAlignment="1">
      <alignment horizontal="center" vertical="center" wrapText="1"/>
    </xf>
    <xf numFmtId="4" fontId="6" fillId="0" borderId="0" xfId="0" applyNumberFormat="1" applyFont="1"/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6" borderId="24" xfId="0" applyNumberFormat="1" applyFont="1" applyFill="1" applyBorder="1" applyAlignment="1">
      <alignment horizontal="center" vertical="center" wrapText="1"/>
    </xf>
    <xf numFmtId="164" fontId="10" fillId="0" borderId="30" xfId="0" applyNumberFormat="1" applyFont="1" applyBorder="1" applyAlignment="1">
      <alignment horizontal="center" vertical="center"/>
    </xf>
    <xf numFmtId="164" fontId="10" fillId="0" borderId="31" xfId="0" applyNumberFormat="1" applyFont="1" applyBorder="1" applyAlignment="1">
      <alignment horizontal="center" vertical="center"/>
    </xf>
    <xf numFmtId="164" fontId="10" fillId="0" borderId="32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right"/>
    </xf>
    <xf numFmtId="0" fontId="7" fillId="0" borderId="0" xfId="0" applyFont="1" applyAlignment="1">
      <alignment horizont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64" fontId="10" fillId="6" borderId="24" xfId="0" applyNumberFormat="1" applyFont="1" applyFill="1" applyBorder="1" applyAlignment="1">
      <alignment horizontal="center" vertical="center" wrapText="1"/>
    </xf>
    <xf numFmtId="164" fontId="10" fillId="6" borderId="24" xfId="0" applyNumberFormat="1" applyFont="1" applyFill="1" applyBorder="1" applyAlignment="1">
      <alignment horizontal="center" vertical="center"/>
    </xf>
    <xf numFmtId="164" fontId="3" fillId="6" borderId="28" xfId="0" applyNumberFormat="1" applyFont="1" applyFill="1" applyBorder="1" applyAlignment="1">
      <alignment horizontal="center" vertical="center" wrapText="1"/>
    </xf>
    <xf numFmtId="164" fontId="3" fillId="6" borderId="29" xfId="0" applyNumberFormat="1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7" fillId="0" borderId="0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right"/>
    </xf>
    <xf numFmtId="0" fontId="17" fillId="0" borderId="0" xfId="0" applyFont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wrapText="1"/>
    </xf>
    <xf numFmtId="4" fontId="2" fillId="0" borderId="0" xfId="0" applyNumberFormat="1" applyFont="1" applyAlignment="1">
      <alignment horizontal="right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topLeftCell="A7" workbookViewId="0">
      <selection activeCell="I20" sqref="I20:K21"/>
    </sheetView>
  </sheetViews>
  <sheetFormatPr defaultRowHeight="15" x14ac:dyDescent="0.25"/>
  <cols>
    <col min="2" max="2" width="52.42578125" customWidth="1"/>
    <col min="3" max="3" width="14.42578125" customWidth="1"/>
    <col min="4" max="4" width="15" style="36" customWidth="1"/>
    <col min="5" max="5" width="12.85546875" customWidth="1"/>
    <col min="6" max="6" width="13.85546875" customWidth="1"/>
  </cols>
  <sheetData>
    <row r="2" spans="1:6" ht="43.5" customHeight="1" x14ac:dyDescent="0.25">
      <c r="A2" s="39" t="s">
        <v>13</v>
      </c>
      <c r="B2" s="154" t="s">
        <v>14</v>
      </c>
      <c r="C2" s="153" t="s">
        <v>43</v>
      </c>
      <c r="D2" s="168" t="s">
        <v>15</v>
      </c>
    </row>
    <row r="3" spans="1:6" x14ac:dyDescent="0.25">
      <c r="A3" s="38">
        <v>1</v>
      </c>
      <c r="B3" s="140" t="s">
        <v>16</v>
      </c>
      <c r="C3" s="141" t="s">
        <v>45</v>
      </c>
      <c r="D3" s="142">
        <v>527207.5470476757</v>
      </c>
    </row>
    <row r="4" spans="1:6" ht="30" x14ac:dyDescent="0.25">
      <c r="A4" s="38">
        <v>2</v>
      </c>
      <c r="B4" s="143" t="s">
        <v>17</v>
      </c>
      <c r="C4" s="141" t="s">
        <v>45</v>
      </c>
      <c r="D4" s="142">
        <v>369991.45452716481</v>
      </c>
    </row>
    <row r="5" spans="1:6" x14ac:dyDescent="0.25">
      <c r="A5" s="38">
        <v>3</v>
      </c>
      <c r="B5" s="140" t="s">
        <v>18</v>
      </c>
      <c r="C5" s="141" t="s">
        <v>45</v>
      </c>
      <c r="D5" s="142">
        <v>369991.45452716481</v>
      </c>
    </row>
    <row r="6" spans="1:6" s="42" customFormat="1" x14ac:dyDescent="0.25">
      <c r="A6" s="38"/>
      <c r="B6" s="140" t="s">
        <v>181</v>
      </c>
      <c r="C6" s="141" t="s">
        <v>46</v>
      </c>
      <c r="D6" s="142">
        <v>390785.69853351463</v>
      </c>
    </row>
    <row r="7" spans="1:6" x14ac:dyDescent="0.25">
      <c r="A7" s="38">
        <v>4</v>
      </c>
      <c r="B7" s="140" t="s">
        <v>19</v>
      </c>
      <c r="C7" s="141" t="s">
        <v>45</v>
      </c>
      <c r="D7" s="142">
        <v>365310.17435349117</v>
      </c>
    </row>
    <row r="8" spans="1:6" x14ac:dyDescent="0.25">
      <c r="A8" s="40"/>
      <c r="B8" s="144" t="s">
        <v>20</v>
      </c>
      <c r="C8" s="145"/>
      <c r="D8" s="146">
        <f>D3+D4+D5+D6+D7</f>
        <v>2023286.3289890108</v>
      </c>
    </row>
    <row r="9" spans="1:6" x14ac:dyDescent="0.25">
      <c r="A9" s="38"/>
      <c r="B9" s="140" t="s">
        <v>21</v>
      </c>
      <c r="C9" s="141" t="s">
        <v>46</v>
      </c>
      <c r="D9" s="142">
        <v>362881.17802303273</v>
      </c>
    </row>
    <row r="10" spans="1:6" x14ac:dyDescent="0.25">
      <c r="A10" s="38">
        <v>5</v>
      </c>
      <c r="B10" s="140" t="s">
        <v>183</v>
      </c>
      <c r="C10" s="141" t="s">
        <v>46</v>
      </c>
      <c r="D10" s="142">
        <v>111876.22927067676</v>
      </c>
      <c r="F10" t="s">
        <v>174</v>
      </c>
    </row>
    <row r="11" spans="1:6" x14ac:dyDescent="0.25">
      <c r="A11" s="38">
        <v>6</v>
      </c>
      <c r="B11" s="140" t="s">
        <v>22</v>
      </c>
      <c r="C11" s="141" t="s">
        <v>45</v>
      </c>
      <c r="D11" s="142">
        <v>0</v>
      </c>
    </row>
    <row r="12" spans="1:6" x14ac:dyDescent="0.25">
      <c r="A12" s="38">
        <v>7</v>
      </c>
      <c r="B12" s="140" t="s">
        <v>23</v>
      </c>
      <c r="C12" s="141" t="s">
        <v>46</v>
      </c>
      <c r="D12" s="142">
        <v>181440.51573828553</v>
      </c>
    </row>
    <row r="13" spans="1:6" x14ac:dyDescent="0.25">
      <c r="A13" s="38">
        <v>8</v>
      </c>
      <c r="B13" s="140" t="s">
        <v>24</v>
      </c>
      <c r="C13" s="141" t="s">
        <v>46</v>
      </c>
      <c r="D13" s="142">
        <v>362881.17802303273</v>
      </c>
      <c r="E13" t="s">
        <v>195</v>
      </c>
      <c r="F13" s="36">
        <f>D3+D4+D5+D6+D7+D9+D10+D11+D12+D13+D14</f>
        <v>3223805.9457823243</v>
      </c>
    </row>
    <row r="14" spans="1:6" x14ac:dyDescent="0.25">
      <c r="A14" s="38">
        <v>9</v>
      </c>
      <c r="B14" s="140" t="s">
        <v>25</v>
      </c>
      <c r="C14" s="141" t="s">
        <v>45</v>
      </c>
      <c r="D14" s="142">
        <v>181440.51573828553</v>
      </c>
      <c r="E14" t="s">
        <v>194</v>
      </c>
      <c r="F14" s="36">
        <f>D15+D16+D18+D19+D20+D21+D22+D23+D24+D25+D26+D27+D28+D29</f>
        <v>11803256.654217675</v>
      </c>
    </row>
    <row r="15" spans="1:6" x14ac:dyDescent="0.25">
      <c r="A15" s="37">
        <v>10</v>
      </c>
      <c r="B15" s="147" t="s">
        <v>26</v>
      </c>
      <c r="C15" s="148" t="s">
        <v>46</v>
      </c>
      <c r="D15" s="149">
        <v>362881.17802303273</v>
      </c>
    </row>
    <row r="16" spans="1:6" s="42" customFormat="1" x14ac:dyDescent="0.25">
      <c r="A16" s="41">
        <v>11</v>
      </c>
      <c r="B16" s="150" t="s">
        <v>27</v>
      </c>
      <c r="C16" s="151" t="s">
        <v>46</v>
      </c>
      <c r="D16" s="152">
        <v>2361272.3744573202</v>
      </c>
    </row>
    <row r="17" spans="1:8" x14ac:dyDescent="0.25">
      <c r="A17" s="40"/>
      <c r="B17" s="144" t="s">
        <v>28</v>
      </c>
      <c r="C17" s="145"/>
      <c r="D17" s="146">
        <f>D9+D10+D11+D12+D13+D14+D15+D16</f>
        <v>3924673.1692736661</v>
      </c>
    </row>
    <row r="18" spans="1:8" x14ac:dyDescent="0.25">
      <c r="A18" s="41">
        <v>12</v>
      </c>
      <c r="B18" s="150" t="s">
        <v>29</v>
      </c>
      <c r="C18" s="151" t="s">
        <v>46</v>
      </c>
      <c r="D18" s="152">
        <v>461255.66468025721</v>
      </c>
    </row>
    <row r="19" spans="1:8" x14ac:dyDescent="0.25">
      <c r="A19" s="41">
        <v>13</v>
      </c>
      <c r="B19" s="150" t="s">
        <v>30</v>
      </c>
      <c r="C19" s="151" t="s">
        <v>45</v>
      </c>
      <c r="D19" s="152">
        <v>226631.64560226299</v>
      </c>
      <c r="E19" s="45" t="s">
        <v>48</v>
      </c>
      <c r="F19" s="46" t="s">
        <v>49</v>
      </c>
    </row>
    <row r="20" spans="1:8" x14ac:dyDescent="0.25">
      <c r="A20" s="41">
        <v>14</v>
      </c>
      <c r="B20" s="150" t="s">
        <v>31</v>
      </c>
      <c r="C20" s="151" t="s">
        <v>46</v>
      </c>
      <c r="D20" s="152">
        <v>725762.22077240853</v>
      </c>
      <c r="E20" s="36">
        <f>F14</f>
        <v>11803256.654217675</v>
      </c>
      <c r="F20" s="36">
        <f>E20*30.05%-442.73-74.6-12.57</f>
        <v>3546348.7245924114</v>
      </c>
      <c r="G20" s="44" t="s">
        <v>47</v>
      </c>
      <c r="H20" t="s">
        <v>195</v>
      </c>
    </row>
    <row r="21" spans="1:8" x14ac:dyDescent="0.25">
      <c r="A21" s="41">
        <v>15</v>
      </c>
      <c r="B21" s="150" t="s">
        <v>32</v>
      </c>
      <c r="C21" s="151" t="s">
        <v>46</v>
      </c>
      <c r="D21" s="152">
        <v>180473.60218375575</v>
      </c>
      <c r="E21" s="36">
        <f>F13</f>
        <v>3223805.9457823243</v>
      </c>
      <c r="F21" s="36">
        <f>E21*30.05%-25.94-4.37-0.73-2.71</f>
        <v>968719.93670758849</v>
      </c>
      <c r="G21" s="44" t="s">
        <v>44</v>
      </c>
      <c r="H21" t="s">
        <v>194</v>
      </c>
    </row>
    <row r="22" spans="1:8" s="42" customFormat="1" x14ac:dyDescent="0.25">
      <c r="A22" s="41">
        <v>16</v>
      </c>
      <c r="B22" s="150" t="s">
        <v>33</v>
      </c>
      <c r="C22" s="151" t="s">
        <v>45</v>
      </c>
      <c r="D22" s="152">
        <v>1451524.4415448171</v>
      </c>
      <c r="E22" s="43">
        <f>SUM(E20:E21)</f>
        <v>15027062.6</v>
      </c>
      <c r="F22" s="43">
        <f>SUM(F20:F21)</f>
        <v>4515068.6612999998</v>
      </c>
    </row>
    <row r="23" spans="1:8" s="42" customFormat="1" x14ac:dyDescent="0.25">
      <c r="A23" s="41">
        <v>17</v>
      </c>
      <c r="B23" s="150" t="s">
        <v>34</v>
      </c>
      <c r="C23" s="151" t="s">
        <v>45</v>
      </c>
      <c r="D23" s="152">
        <v>362881.20056864229</v>
      </c>
      <c r="F23" s="43">
        <f>D35-F22</f>
        <v>-1.2999996542930603E-3</v>
      </c>
    </row>
    <row r="24" spans="1:8" s="42" customFormat="1" x14ac:dyDescent="0.25">
      <c r="A24" s="41">
        <v>18</v>
      </c>
      <c r="B24" s="150" t="s">
        <v>35</v>
      </c>
      <c r="C24" s="151" t="s">
        <v>45</v>
      </c>
      <c r="D24" s="152">
        <v>362881.09911339951</v>
      </c>
    </row>
    <row r="25" spans="1:8" s="42" customFormat="1" x14ac:dyDescent="0.25">
      <c r="A25" s="41">
        <v>19</v>
      </c>
      <c r="B25" s="150" t="s">
        <v>36</v>
      </c>
      <c r="C25" s="151" t="s">
        <v>45</v>
      </c>
      <c r="D25" s="152">
        <v>224560.98918916169</v>
      </c>
    </row>
    <row r="26" spans="1:8" s="42" customFormat="1" x14ac:dyDescent="0.25">
      <c r="A26" s="41">
        <v>20</v>
      </c>
      <c r="B26" s="150" t="s">
        <v>37</v>
      </c>
      <c r="C26" s="151" t="s">
        <v>45</v>
      </c>
      <c r="D26" s="152">
        <v>1088643.6017059267</v>
      </c>
    </row>
    <row r="27" spans="1:8" s="42" customFormat="1" x14ac:dyDescent="0.25">
      <c r="A27" s="41">
        <v>21</v>
      </c>
      <c r="B27" s="150" t="s">
        <v>38</v>
      </c>
      <c r="C27" s="151" t="s">
        <v>45</v>
      </c>
      <c r="D27" s="152">
        <v>725762.22077240853</v>
      </c>
    </row>
    <row r="28" spans="1:8" s="42" customFormat="1" x14ac:dyDescent="0.25">
      <c r="A28" s="41">
        <v>22</v>
      </c>
      <c r="B28" s="150" t="s">
        <v>39</v>
      </c>
      <c r="C28" s="151" t="s">
        <v>45</v>
      </c>
      <c r="D28" s="152">
        <v>362881.11038620427</v>
      </c>
    </row>
    <row r="29" spans="1:8" s="42" customFormat="1" x14ac:dyDescent="0.25">
      <c r="A29" s="41">
        <v>23</v>
      </c>
      <c r="B29" s="150" t="s">
        <v>40</v>
      </c>
      <c r="C29" s="151" t="s">
        <v>45</v>
      </c>
      <c r="D29" s="152">
        <v>2905845.3052180773</v>
      </c>
      <c r="E29" s="43"/>
    </row>
    <row r="30" spans="1:8" x14ac:dyDescent="0.25">
      <c r="A30" s="40"/>
      <c r="B30" s="144" t="s">
        <v>41</v>
      </c>
      <c r="C30" s="145"/>
      <c r="D30" s="146">
        <f>D18+D19+D20+D21+D22+D23+D24+D25+D26+D27+D28+D29</f>
        <v>9079103.1017373223</v>
      </c>
    </row>
    <row r="31" spans="1:8" x14ac:dyDescent="0.25">
      <c r="A31" s="37"/>
      <c r="B31" s="147" t="s">
        <v>42</v>
      </c>
      <c r="C31" s="147"/>
      <c r="D31" s="149">
        <f>D8+D17+D30</f>
        <v>15027062.6</v>
      </c>
    </row>
    <row r="34" spans="3:4" x14ac:dyDescent="0.25">
      <c r="C34" s="36"/>
      <c r="D34" s="36">
        <f>14979873.98+47188.62</f>
        <v>15027062.6</v>
      </c>
    </row>
    <row r="35" spans="3:4" x14ac:dyDescent="0.25">
      <c r="D35" s="36">
        <v>4515068.66</v>
      </c>
    </row>
    <row r="36" spans="3:4" x14ac:dyDescent="0.25">
      <c r="D36" s="36">
        <f>D35/D34*100</f>
        <v>30.046249091954941</v>
      </c>
    </row>
    <row r="37" spans="3:4" x14ac:dyDescent="0.25">
      <c r="D37" s="36">
        <f>D34-D31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29"/>
  <sheetViews>
    <sheetView topLeftCell="D1" workbookViewId="0">
      <selection activeCell="I21" sqref="I21"/>
    </sheetView>
  </sheetViews>
  <sheetFormatPr defaultRowHeight="15" x14ac:dyDescent="0.25"/>
  <cols>
    <col min="1" max="1" width="10.7109375" style="2" customWidth="1"/>
    <col min="2" max="2" width="7" style="2" customWidth="1"/>
    <col min="3" max="3" width="7.85546875" style="2" hidden="1" customWidth="1"/>
    <col min="4" max="4" width="11.5703125" style="2" customWidth="1"/>
    <col min="5" max="6" width="6.140625" style="2" bestFit="1" customWidth="1"/>
    <col min="7" max="7" width="7" style="2" bestFit="1" customWidth="1"/>
    <col min="8" max="8" width="9.85546875" style="2" customWidth="1"/>
    <col min="9" max="9" width="12.42578125" style="2" customWidth="1"/>
    <col min="10" max="10" width="12.28515625" style="2" customWidth="1"/>
    <col min="11" max="11" width="14.7109375" style="2" customWidth="1"/>
    <col min="12" max="12" width="16.140625" style="2" customWidth="1"/>
    <col min="13" max="13" width="12.28515625" style="2" customWidth="1"/>
    <col min="14" max="15" width="10.85546875" style="2" bestFit="1" customWidth="1"/>
    <col min="16" max="17" width="9.140625" style="2"/>
    <col min="18" max="18" width="13" style="2" customWidth="1"/>
    <col min="19" max="19" width="13.140625" style="2" customWidth="1"/>
    <col min="20" max="20" width="12.5703125" style="2" customWidth="1"/>
    <col min="21" max="21" width="12" style="2" customWidth="1"/>
    <col min="22" max="22" width="11.42578125" style="2" customWidth="1"/>
    <col min="23" max="16384" width="9.140625" style="2"/>
  </cols>
  <sheetData>
    <row r="1" spans="1:2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2" ht="27" customHeight="1" x14ac:dyDescent="0.25">
      <c r="A2" s="3"/>
      <c r="B2" s="247" t="s">
        <v>50</v>
      </c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</row>
    <row r="3" spans="1:22" x14ac:dyDescent="0.25">
      <c r="A3" s="3"/>
      <c r="B3" s="246" t="s">
        <v>0</v>
      </c>
      <c r="C3" s="248" t="s">
        <v>1</v>
      </c>
      <c r="D3" s="248" t="s">
        <v>185</v>
      </c>
      <c r="E3" s="248" t="s">
        <v>184</v>
      </c>
      <c r="F3" s="248" t="s">
        <v>2</v>
      </c>
      <c r="G3" s="246" t="s">
        <v>3</v>
      </c>
      <c r="H3" s="246" t="s">
        <v>4</v>
      </c>
      <c r="I3" s="249">
        <v>2019</v>
      </c>
      <c r="J3" s="248" t="s">
        <v>5</v>
      </c>
      <c r="K3" s="248"/>
      <c r="L3" s="248"/>
      <c r="M3" s="246" t="s">
        <v>6</v>
      </c>
      <c r="N3" s="4"/>
      <c r="O3" s="4"/>
      <c r="P3" s="4"/>
      <c r="Q3" s="4"/>
      <c r="R3" s="4"/>
      <c r="S3" s="4"/>
      <c r="T3" s="4"/>
      <c r="U3" s="4"/>
      <c r="V3" s="4"/>
    </row>
    <row r="4" spans="1:22" s="10" customFormat="1" ht="27.75" customHeight="1" x14ac:dyDescent="0.2">
      <c r="A4" s="5"/>
      <c r="B4" s="246"/>
      <c r="C4" s="248"/>
      <c r="D4" s="248"/>
      <c r="E4" s="248"/>
      <c r="F4" s="248"/>
      <c r="G4" s="246"/>
      <c r="H4" s="246"/>
      <c r="I4" s="249"/>
      <c r="J4" s="6" t="s">
        <v>7</v>
      </c>
      <c r="K4" s="7" t="s">
        <v>8</v>
      </c>
      <c r="L4" s="7" t="s">
        <v>9</v>
      </c>
      <c r="M4" s="246"/>
      <c r="N4" s="3"/>
      <c r="O4" s="8"/>
      <c r="P4" s="8"/>
      <c r="Q4" s="8"/>
      <c r="R4" s="9"/>
      <c r="S4" s="3"/>
      <c r="T4" s="3"/>
      <c r="U4" s="3"/>
      <c r="V4" s="8"/>
    </row>
    <row r="5" spans="1:22" s="20" customFormat="1" ht="13.5" customHeight="1" x14ac:dyDescent="0.2">
      <c r="A5" s="11"/>
      <c r="B5" s="12" t="s">
        <v>10</v>
      </c>
      <c r="C5" s="12" t="s">
        <v>11</v>
      </c>
      <c r="D5" s="13" t="s">
        <v>186</v>
      </c>
      <c r="E5" s="14">
        <v>111</v>
      </c>
      <c r="F5" s="14">
        <v>211</v>
      </c>
      <c r="G5" s="14">
        <v>110</v>
      </c>
      <c r="H5" s="14" t="s">
        <v>12</v>
      </c>
      <c r="I5" s="169">
        <f>K5+L5</f>
        <v>15027062.6</v>
      </c>
      <c r="J5" s="35">
        <f>I5</f>
        <v>15027062.6</v>
      </c>
      <c r="K5" s="35">
        <f>ЗП!E20</f>
        <v>11803256.654217675</v>
      </c>
      <c r="L5" s="35">
        <f>ЗП!E21</f>
        <v>3223805.9457823243</v>
      </c>
      <c r="M5" s="35">
        <v>0</v>
      </c>
      <c r="N5" s="15"/>
      <c r="O5" s="131">
        <f>I5+I7</f>
        <v>19542131.261299998</v>
      </c>
      <c r="P5" s="16"/>
      <c r="Q5" s="16"/>
      <c r="R5" s="17"/>
      <c r="S5" s="18"/>
      <c r="T5" s="19"/>
      <c r="U5" s="19"/>
      <c r="V5" s="16"/>
    </row>
    <row r="6" spans="1:22" s="10" customFormat="1" ht="13.5" customHeight="1" x14ac:dyDescent="0.2">
      <c r="A6" s="5"/>
      <c r="B6" s="21" t="s">
        <v>10</v>
      </c>
      <c r="C6" s="21" t="s">
        <v>11</v>
      </c>
      <c r="D6" s="13" t="s">
        <v>186</v>
      </c>
      <c r="E6" s="14">
        <v>112</v>
      </c>
      <c r="F6" s="22">
        <v>212</v>
      </c>
      <c r="G6" s="14">
        <v>120</v>
      </c>
      <c r="H6" s="22" t="s">
        <v>12</v>
      </c>
      <c r="I6" s="169">
        <f>400+92039.46+74064+416360.43</f>
        <v>582863.89</v>
      </c>
      <c r="J6" s="35">
        <f t="shared" ref="J6:J22" si="0">I6</f>
        <v>582863.89</v>
      </c>
      <c r="K6" s="35">
        <v>0</v>
      </c>
      <c r="L6" s="35">
        <f>J6</f>
        <v>582863.89</v>
      </c>
      <c r="M6" s="35">
        <v>0</v>
      </c>
      <c r="N6" s="23"/>
      <c r="O6" s="23"/>
      <c r="P6" s="23"/>
      <c r="Q6" s="24"/>
      <c r="R6" s="25"/>
      <c r="S6" s="25"/>
      <c r="T6" s="25"/>
      <c r="U6" s="25"/>
      <c r="V6" s="25"/>
    </row>
    <row r="7" spans="1:22" s="10" customFormat="1" ht="13.5" customHeight="1" x14ac:dyDescent="0.2">
      <c r="A7" s="5"/>
      <c r="B7" s="21" t="s">
        <v>10</v>
      </c>
      <c r="C7" s="21" t="s">
        <v>11</v>
      </c>
      <c r="D7" s="13" t="s">
        <v>186</v>
      </c>
      <c r="E7" s="14">
        <v>119</v>
      </c>
      <c r="F7" s="22">
        <v>213</v>
      </c>
      <c r="G7" s="22">
        <v>130</v>
      </c>
      <c r="H7" s="22" t="s">
        <v>12</v>
      </c>
      <c r="I7" s="169">
        <f>K7+L7</f>
        <v>4515068.6612999998</v>
      </c>
      <c r="J7" s="35">
        <f t="shared" si="0"/>
        <v>4515068.6612999998</v>
      </c>
      <c r="K7" s="35">
        <f>ЗП!F20</f>
        <v>3546348.7245924114</v>
      </c>
      <c r="L7" s="35">
        <f>ЗП!F21</f>
        <v>968719.93670758849</v>
      </c>
      <c r="M7" s="35">
        <v>0</v>
      </c>
      <c r="N7" s="23"/>
      <c r="O7" s="23"/>
      <c r="P7" s="23"/>
      <c r="Q7" s="24"/>
      <c r="R7" s="25"/>
      <c r="S7" s="25"/>
      <c r="T7" s="25"/>
      <c r="U7" s="25"/>
      <c r="V7" s="25"/>
    </row>
    <row r="8" spans="1:22" s="10" customFormat="1" ht="13.5" customHeight="1" x14ac:dyDescent="0.2">
      <c r="A8" s="5"/>
      <c r="B8" s="12" t="s">
        <v>10</v>
      </c>
      <c r="C8" s="21" t="s">
        <v>11</v>
      </c>
      <c r="D8" s="13" t="s">
        <v>186</v>
      </c>
      <c r="E8" s="14">
        <v>244</v>
      </c>
      <c r="F8" s="26">
        <v>221</v>
      </c>
      <c r="G8" s="14">
        <v>210</v>
      </c>
      <c r="H8" s="22" t="s">
        <v>12</v>
      </c>
      <c r="I8" s="169">
        <v>64128.31</v>
      </c>
      <c r="J8" s="35">
        <f t="shared" si="0"/>
        <v>64128.31</v>
      </c>
      <c r="K8" s="35">
        <v>0</v>
      </c>
      <c r="L8" s="35">
        <f>J8</f>
        <v>64128.31</v>
      </c>
      <c r="M8" s="35">
        <v>0</v>
      </c>
      <c r="N8" s="23"/>
      <c r="O8" s="23"/>
      <c r="P8" s="23"/>
      <c r="Q8" s="24"/>
      <c r="R8" s="25"/>
      <c r="S8" s="25"/>
      <c r="T8" s="25"/>
      <c r="U8" s="25"/>
      <c r="V8" s="25"/>
    </row>
    <row r="9" spans="1:22" s="10" customFormat="1" ht="13.5" customHeight="1" x14ac:dyDescent="0.2">
      <c r="A9" s="5"/>
      <c r="B9" s="21" t="s">
        <v>10</v>
      </c>
      <c r="C9" s="21" t="s">
        <v>11</v>
      </c>
      <c r="D9" s="13" t="s">
        <v>186</v>
      </c>
      <c r="E9" s="14">
        <v>244</v>
      </c>
      <c r="F9" s="26">
        <v>222</v>
      </c>
      <c r="G9" s="14">
        <v>220</v>
      </c>
      <c r="H9" s="22" t="s">
        <v>12</v>
      </c>
      <c r="I9" s="169">
        <v>99750</v>
      </c>
      <c r="J9" s="35">
        <f t="shared" si="0"/>
        <v>99750</v>
      </c>
      <c r="K9" s="35">
        <v>0</v>
      </c>
      <c r="L9" s="35">
        <f>J9</f>
        <v>99750</v>
      </c>
      <c r="M9" s="35">
        <v>0</v>
      </c>
      <c r="N9" s="23"/>
      <c r="O9" s="23"/>
      <c r="P9" s="23"/>
      <c r="Q9" s="24"/>
      <c r="R9" s="25"/>
      <c r="S9" s="25"/>
      <c r="T9" s="25"/>
      <c r="U9" s="25"/>
      <c r="V9" s="25"/>
    </row>
    <row r="10" spans="1:22" s="10" customFormat="1" ht="13.5" customHeight="1" x14ac:dyDescent="0.2">
      <c r="A10" s="5"/>
      <c r="B10" s="21" t="s">
        <v>10</v>
      </c>
      <c r="C10" s="21" t="s">
        <v>11</v>
      </c>
      <c r="D10" s="13" t="s">
        <v>186</v>
      </c>
      <c r="E10" s="14">
        <v>244</v>
      </c>
      <c r="F10" s="26">
        <v>223</v>
      </c>
      <c r="G10" s="14">
        <v>231</v>
      </c>
      <c r="H10" s="22" t="s">
        <v>12</v>
      </c>
      <c r="I10" s="169">
        <v>1338156.05</v>
      </c>
      <c r="J10" s="35">
        <f>I10-M10</f>
        <v>669078.02500000002</v>
      </c>
      <c r="K10" s="35">
        <v>0</v>
      </c>
      <c r="L10" s="35">
        <f>I10-M10</f>
        <v>669078.02500000002</v>
      </c>
      <c r="M10" s="35">
        <f>I10*50%</f>
        <v>669078.02500000002</v>
      </c>
      <c r="N10" s="23"/>
      <c r="O10" s="23">
        <v>50</v>
      </c>
      <c r="P10" s="23">
        <v>50</v>
      </c>
      <c r="Q10" s="24"/>
      <c r="R10" s="25"/>
      <c r="S10" s="25"/>
      <c r="T10" s="25"/>
      <c r="U10" s="25"/>
      <c r="V10" s="25"/>
    </row>
    <row r="11" spans="1:22" s="10" customFormat="1" ht="13.5" customHeight="1" x14ac:dyDescent="0.2">
      <c r="A11" s="5"/>
      <c r="B11" s="12" t="s">
        <v>10</v>
      </c>
      <c r="C11" s="21" t="s">
        <v>11</v>
      </c>
      <c r="D11" s="13" t="s">
        <v>186</v>
      </c>
      <c r="E11" s="14">
        <v>244</v>
      </c>
      <c r="F11" s="26">
        <v>223</v>
      </c>
      <c r="G11" s="14">
        <v>232</v>
      </c>
      <c r="H11" s="22" t="s">
        <v>12</v>
      </c>
      <c r="I11" s="169">
        <v>1532790.94</v>
      </c>
      <c r="J11" s="35">
        <f>I11-M11</f>
        <v>1379511.8459999999</v>
      </c>
      <c r="K11" s="35">
        <v>0</v>
      </c>
      <c r="L11" s="35">
        <f>I11-M11</f>
        <v>1379511.8459999999</v>
      </c>
      <c r="M11" s="35">
        <f>I11*10%</f>
        <v>153279.09400000001</v>
      </c>
      <c r="N11" s="27"/>
      <c r="O11" s="23">
        <v>90</v>
      </c>
      <c r="P11" s="23">
        <v>10</v>
      </c>
      <c r="Q11" s="24"/>
      <c r="R11" s="25"/>
      <c r="S11" s="25"/>
      <c r="T11" s="25"/>
      <c r="U11" s="25"/>
      <c r="V11" s="25"/>
    </row>
    <row r="12" spans="1:22" s="10" customFormat="1" ht="13.5" customHeight="1" x14ac:dyDescent="0.2">
      <c r="A12" s="5"/>
      <c r="B12" s="21" t="s">
        <v>10</v>
      </c>
      <c r="C12" s="21" t="s">
        <v>11</v>
      </c>
      <c r="D12" s="13" t="s">
        <v>186</v>
      </c>
      <c r="E12" s="14">
        <v>244</v>
      </c>
      <c r="F12" s="26">
        <v>223</v>
      </c>
      <c r="G12" s="14">
        <v>233</v>
      </c>
      <c r="H12" s="22" t="s">
        <v>12</v>
      </c>
      <c r="I12" s="169">
        <v>25519.83</v>
      </c>
      <c r="J12" s="35">
        <f t="shared" si="0"/>
        <v>25519.83</v>
      </c>
      <c r="K12" s="35">
        <v>0</v>
      </c>
      <c r="L12" s="35">
        <f>J12</f>
        <v>25519.83</v>
      </c>
      <c r="M12" s="35">
        <v>0</v>
      </c>
      <c r="N12" s="27"/>
      <c r="O12" s="23"/>
      <c r="P12" s="23"/>
      <c r="Q12" s="24"/>
      <c r="R12" s="25"/>
      <c r="S12" s="25"/>
      <c r="T12" s="25"/>
      <c r="U12" s="25"/>
      <c r="V12" s="25"/>
    </row>
    <row r="13" spans="1:22" s="10" customFormat="1" ht="13.5" customHeight="1" x14ac:dyDescent="0.2">
      <c r="A13" s="5"/>
      <c r="B13" s="21" t="s">
        <v>10</v>
      </c>
      <c r="C13" s="21" t="s">
        <v>11</v>
      </c>
      <c r="D13" s="13" t="s">
        <v>186</v>
      </c>
      <c r="E13" s="14">
        <v>244</v>
      </c>
      <c r="F13" s="26">
        <v>225</v>
      </c>
      <c r="G13" s="14">
        <v>251</v>
      </c>
      <c r="H13" s="22" t="s">
        <v>12</v>
      </c>
      <c r="I13" s="169">
        <f>331099.25+86000</f>
        <v>417099.25</v>
      </c>
      <c r="J13" s="35">
        <f t="shared" si="0"/>
        <v>417099.25</v>
      </c>
      <c r="K13" s="35">
        <v>0</v>
      </c>
      <c r="L13" s="35">
        <f>J13</f>
        <v>417099.25</v>
      </c>
      <c r="M13" s="35">
        <v>0</v>
      </c>
      <c r="N13" s="27"/>
      <c r="O13" s="23"/>
      <c r="P13" s="23"/>
      <c r="Q13" s="24"/>
      <c r="R13" s="25"/>
      <c r="S13" s="25"/>
      <c r="T13" s="25"/>
      <c r="U13" s="25"/>
      <c r="V13" s="25"/>
    </row>
    <row r="14" spans="1:22" s="10" customFormat="1" ht="13.5" customHeight="1" x14ac:dyDescent="0.2">
      <c r="A14" s="5"/>
      <c r="B14" s="12" t="s">
        <v>10</v>
      </c>
      <c r="C14" s="21" t="s">
        <v>11</v>
      </c>
      <c r="D14" s="13" t="s">
        <v>186</v>
      </c>
      <c r="E14" s="14">
        <v>244</v>
      </c>
      <c r="F14" s="22">
        <v>225</v>
      </c>
      <c r="G14" s="14">
        <v>255</v>
      </c>
      <c r="H14" s="22" t="s">
        <v>12</v>
      </c>
      <c r="I14" s="169">
        <v>451353.71</v>
      </c>
      <c r="J14" s="35">
        <f t="shared" si="0"/>
        <v>451353.71</v>
      </c>
      <c r="K14" s="35">
        <v>0</v>
      </c>
      <c r="L14" s="35">
        <f>J14-K14</f>
        <v>451353.71</v>
      </c>
      <c r="M14" s="35">
        <v>0</v>
      </c>
      <c r="N14" s="27"/>
      <c r="O14" s="23"/>
      <c r="P14" s="23"/>
      <c r="Q14" s="24"/>
      <c r="R14" s="25"/>
      <c r="S14" s="25"/>
      <c r="T14" s="25"/>
      <c r="U14" s="25"/>
      <c r="V14" s="25"/>
    </row>
    <row r="15" spans="1:22" s="10" customFormat="1" ht="13.5" customHeight="1" x14ac:dyDescent="0.2">
      <c r="A15" s="5"/>
      <c r="B15" s="12"/>
      <c r="C15" s="21"/>
      <c r="D15" s="13" t="s">
        <v>187</v>
      </c>
      <c r="E15" s="14">
        <v>244</v>
      </c>
      <c r="F15" s="22">
        <v>226</v>
      </c>
      <c r="G15" s="14">
        <v>263</v>
      </c>
      <c r="H15" s="22" t="s">
        <v>12</v>
      </c>
      <c r="I15" s="169">
        <v>65510</v>
      </c>
      <c r="J15" s="35">
        <f t="shared" si="0"/>
        <v>65510</v>
      </c>
      <c r="K15" s="35">
        <v>0</v>
      </c>
      <c r="L15" s="35">
        <f>J15</f>
        <v>65510</v>
      </c>
      <c r="M15" s="35">
        <v>0</v>
      </c>
      <c r="N15" s="27"/>
      <c r="O15" s="23"/>
      <c r="P15" s="23"/>
      <c r="Q15" s="24"/>
      <c r="R15" s="25"/>
      <c r="S15" s="25"/>
      <c r="T15" s="25"/>
      <c r="U15" s="25"/>
      <c r="V15" s="25"/>
    </row>
    <row r="16" spans="1:22" s="10" customFormat="1" ht="13.5" customHeight="1" x14ac:dyDescent="0.2">
      <c r="A16" s="5"/>
      <c r="B16" s="21" t="s">
        <v>10</v>
      </c>
      <c r="C16" s="21" t="s">
        <v>11</v>
      </c>
      <c r="D16" s="13" t="s">
        <v>186</v>
      </c>
      <c r="E16" s="14">
        <v>244</v>
      </c>
      <c r="F16" s="22">
        <v>226</v>
      </c>
      <c r="G16" s="14">
        <v>264</v>
      </c>
      <c r="H16" s="22" t="s">
        <v>12</v>
      </c>
      <c r="I16" s="169">
        <v>861189.64</v>
      </c>
      <c r="J16" s="35">
        <f t="shared" si="0"/>
        <v>861189.64</v>
      </c>
      <c r="K16" s="35">
        <v>0</v>
      </c>
      <c r="L16" s="35">
        <f t="shared" ref="L16:L18" si="1">J16</f>
        <v>861189.64</v>
      </c>
      <c r="M16" s="35">
        <v>0</v>
      </c>
      <c r="N16" s="27"/>
      <c r="O16" s="23"/>
      <c r="P16" s="23"/>
      <c r="Q16" s="24"/>
      <c r="R16" s="25"/>
      <c r="S16" s="25"/>
      <c r="T16" s="25"/>
      <c r="U16" s="25"/>
      <c r="V16" s="25"/>
    </row>
    <row r="17" spans="1:26" s="10" customFormat="1" ht="13.5" customHeight="1" x14ac:dyDescent="0.2">
      <c r="A17" s="5"/>
      <c r="B17" s="21" t="s">
        <v>10</v>
      </c>
      <c r="C17" s="21" t="s">
        <v>11</v>
      </c>
      <c r="D17" s="13" t="s">
        <v>186</v>
      </c>
      <c r="E17" s="14">
        <v>244</v>
      </c>
      <c r="F17" s="22">
        <v>226</v>
      </c>
      <c r="G17" s="14">
        <v>265</v>
      </c>
      <c r="H17" s="22" t="s">
        <v>12</v>
      </c>
      <c r="I17" s="169">
        <v>28296.92</v>
      </c>
      <c r="J17" s="35">
        <f t="shared" si="0"/>
        <v>28296.92</v>
      </c>
      <c r="K17" s="35">
        <v>0</v>
      </c>
      <c r="L17" s="35">
        <f>J17-K17</f>
        <v>28296.92</v>
      </c>
      <c r="M17" s="35">
        <v>0</v>
      </c>
      <c r="N17" s="27"/>
      <c r="O17" s="23"/>
      <c r="P17" s="23"/>
      <c r="Q17" s="24"/>
      <c r="R17" s="25"/>
      <c r="S17" s="25"/>
      <c r="T17" s="25"/>
      <c r="U17" s="25"/>
      <c r="V17" s="25"/>
    </row>
    <row r="18" spans="1:26" s="10" customFormat="1" ht="13.5" customHeight="1" x14ac:dyDescent="0.2">
      <c r="A18" s="5"/>
      <c r="B18" s="21" t="s">
        <v>10</v>
      </c>
      <c r="C18" s="21" t="s">
        <v>11</v>
      </c>
      <c r="D18" s="13" t="s">
        <v>186</v>
      </c>
      <c r="E18" s="14">
        <v>244</v>
      </c>
      <c r="F18" s="22">
        <v>226</v>
      </c>
      <c r="G18" s="14">
        <v>266</v>
      </c>
      <c r="H18" s="22" t="s">
        <v>12</v>
      </c>
      <c r="I18" s="169">
        <v>0</v>
      </c>
      <c r="J18" s="35">
        <f t="shared" si="0"/>
        <v>0</v>
      </c>
      <c r="K18" s="35">
        <v>0</v>
      </c>
      <c r="L18" s="35">
        <f t="shared" si="1"/>
        <v>0</v>
      </c>
      <c r="M18" s="35">
        <v>0</v>
      </c>
      <c r="N18" s="27"/>
      <c r="O18" s="23"/>
      <c r="P18" s="23"/>
      <c r="Q18" s="24"/>
      <c r="R18" s="25"/>
      <c r="S18" s="25"/>
      <c r="T18" s="25"/>
      <c r="U18" s="25"/>
      <c r="V18" s="25"/>
    </row>
    <row r="19" spans="1:26" s="10" customFormat="1" ht="13.5" customHeight="1" x14ac:dyDescent="0.2">
      <c r="A19" s="5"/>
      <c r="B19" s="21" t="s">
        <v>10</v>
      </c>
      <c r="C19" s="21" t="s">
        <v>11</v>
      </c>
      <c r="D19" s="13" t="s">
        <v>186</v>
      </c>
      <c r="E19" s="14">
        <v>244</v>
      </c>
      <c r="F19" s="22">
        <v>226</v>
      </c>
      <c r="G19" s="14">
        <v>267</v>
      </c>
      <c r="H19" s="22" t="s">
        <v>12</v>
      </c>
      <c r="I19" s="169">
        <f>40900+86200</f>
        <v>127100</v>
      </c>
      <c r="J19" s="35">
        <f t="shared" si="0"/>
        <v>127100</v>
      </c>
      <c r="K19" s="48">
        <v>0</v>
      </c>
      <c r="L19" s="47">
        <f>J19</f>
        <v>127100</v>
      </c>
      <c r="M19" s="48">
        <v>0</v>
      </c>
      <c r="N19" s="23"/>
      <c r="O19" s="23"/>
      <c r="P19" s="23"/>
      <c r="Q19" s="24"/>
      <c r="R19" s="25"/>
      <c r="S19" s="25"/>
      <c r="T19" s="25"/>
      <c r="U19" s="25"/>
      <c r="V19" s="25"/>
    </row>
    <row r="20" spans="1:26" s="10" customFormat="1" ht="13.5" customHeight="1" x14ac:dyDescent="0.2">
      <c r="A20" s="5"/>
      <c r="B20" s="21" t="s">
        <v>10</v>
      </c>
      <c r="C20" s="21" t="s">
        <v>11</v>
      </c>
      <c r="D20" s="13" t="s">
        <v>186</v>
      </c>
      <c r="E20" s="14">
        <v>244</v>
      </c>
      <c r="F20" s="14">
        <v>340</v>
      </c>
      <c r="G20" s="14">
        <v>341</v>
      </c>
      <c r="H20" s="22" t="s">
        <v>12</v>
      </c>
      <c r="I20" s="169">
        <v>626822.62</v>
      </c>
      <c r="J20" s="35">
        <f t="shared" si="0"/>
        <v>626822.62</v>
      </c>
      <c r="K20" s="35">
        <f>J20</f>
        <v>626822.62</v>
      </c>
      <c r="L20" s="35">
        <v>0</v>
      </c>
      <c r="M20" s="35">
        <v>0</v>
      </c>
      <c r="N20" s="23"/>
      <c r="O20" s="23"/>
      <c r="P20" s="23"/>
      <c r="Q20" s="24"/>
      <c r="R20" s="25"/>
      <c r="S20" s="25"/>
      <c r="T20" s="25"/>
      <c r="U20" s="25"/>
      <c r="V20" s="25"/>
    </row>
    <row r="21" spans="1:26" s="10" customFormat="1" ht="13.5" customHeight="1" x14ac:dyDescent="0.2">
      <c r="A21" s="5"/>
      <c r="B21" s="21" t="s">
        <v>10</v>
      </c>
      <c r="C21" s="21" t="s">
        <v>11</v>
      </c>
      <c r="D21" s="13" t="s">
        <v>186</v>
      </c>
      <c r="E21" s="14">
        <v>244</v>
      </c>
      <c r="F21" s="14">
        <v>340</v>
      </c>
      <c r="G21" s="14">
        <v>343</v>
      </c>
      <c r="H21" s="22" t="s">
        <v>12</v>
      </c>
      <c r="I21" s="169">
        <v>244846.25</v>
      </c>
      <c r="J21" s="35">
        <f t="shared" si="0"/>
        <v>244846.25</v>
      </c>
      <c r="K21" s="35">
        <f>J21</f>
        <v>244846.25</v>
      </c>
      <c r="L21" s="35">
        <v>0</v>
      </c>
      <c r="M21" s="35">
        <v>0</v>
      </c>
      <c r="N21" s="23"/>
      <c r="O21" s="23"/>
      <c r="P21" s="23"/>
      <c r="Q21" s="24"/>
      <c r="R21" s="25"/>
      <c r="S21" s="25"/>
      <c r="T21" s="25"/>
      <c r="U21" s="25"/>
      <c r="V21" s="25"/>
    </row>
    <row r="22" spans="1:26" s="10" customFormat="1" ht="13.5" customHeight="1" x14ac:dyDescent="0.2">
      <c r="A22" s="28"/>
      <c r="B22" s="21" t="s">
        <v>10</v>
      </c>
      <c r="C22" s="21" t="s">
        <v>11</v>
      </c>
      <c r="D22" s="13" t="s">
        <v>186</v>
      </c>
      <c r="E22" s="14">
        <v>244</v>
      </c>
      <c r="F22" s="22">
        <v>340</v>
      </c>
      <c r="G22" s="14">
        <v>344</v>
      </c>
      <c r="H22" s="22" t="s">
        <v>12</v>
      </c>
      <c r="I22" s="169">
        <v>111400</v>
      </c>
      <c r="J22" s="35">
        <f t="shared" si="0"/>
        <v>111400</v>
      </c>
      <c r="K22" s="35">
        <f>J22-L22</f>
        <v>87526.98</v>
      </c>
      <c r="L22" s="35">
        <f>J22*O22%</f>
        <v>23873.02</v>
      </c>
      <c r="M22" s="35">
        <v>0</v>
      </c>
      <c r="N22" s="157"/>
      <c r="O22" s="23">
        <v>21.43</v>
      </c>
      <c r="P22" s="23">
        <v>78.569999999999993</v>
      </c>
      <c r="Q22" s="24"/>
      <c r="R22" s="25"/>
      <c r="S22" s="25"/>
      <c r="T22" s="25"/>
      <c r="U22" s="25"/>
      <c r="V22" s="25"/>
    </row>
    <row r="23" spans="1:26" s="10" customFormat="1" ht="13.5" customHeight="1" x14ac:dyDescent="0.2">
      <c r="A23" s="5"/>
      <c r="B23" s="21" t="s">
        <v>10</v>
      </c>
      <c r="C23" s="21" t="s">
        <v>11</v>
      </c>
      <c r="D23" s="13" t="s">
        <v>186</v>
      </c>
      <c r="E23" s="14">
        <v>851</v>
      </c>
      <c r="F23" s="22">
        <v>290</v>
      </c>
      <c r="G23" s="14">
        <v>901</v>
      </c>
      <c r="H23" s="22" t="s">
        <v>12</v>
      </c>
      <c r="I23" s="169">
        <f>934315+12657+1819</f>
        <v>948791</v>
      </c>
      <c r="J23" s="35">
        <f>I23-M23</f>
        <v>0</v>
      </c>
      <c r="K23" s="35">
        <v>0</v>
      </c>
      <c r="L23" s="35">
        <v>0</v>
      </c>
      <c r="M23" s="35">
        <f>I23</f>
        <v>948791</v>
      </c>
      <c r="N23" s="23"/>
      <c r="O23" s="23"/>
      <c r="P23" s="23"/>
      <c r="Q23" s="24"/>
      <c r="R23" s="25"/>
      <c r="S23" s="25"/>
      <c r="T23" s="25"/>
      <c r="U23" s="25"/>
      <c r="V23" s="25"/>
    </row>
    <row r="24" spans="1:26" s="10" customFormat="1" ht="12.75" x14ac:dyDescent="0.2">
      <c r="I24" s="29">
        <f>SUM(I5:I23)</f>
        <v>27067749.671300001</v>
      </c>
      <c r="J24" s="29">
        <f t="shared" ref="J24:M24" si="2">SUM(J5:J23)</f>
        <v>25296601.552299999</v>
      </c>
      <c r="K24" s="29">
        <f t="shared" si="2"/>
        <v>16308801.228810087</v>
      </c>
      <c r="L24" s="29">
        <f t="shared" si="2"/>
        <v>8987800.3234899119</v>
      </c>
      <c r="M24" s="29">
        <f t="shared" si="2"/>
        <v>1771148.1189999999</v>
      </c>
      <c r="N24" s="23"/>
      <c r="O24" s="157">
        <f>J24+M24</f>
        <v>27067749.671299998</v>
      </c>
      <c r="P24" s="23"/>
      <c r="Q24" s="24"/>
      <c r="R24" s="25"/>
      <c r="S24" s="25"/>
      <c r="T24" s="25"/>
      <c r="U24" s="25"/>
      <c r="V24" s="25"/>
    </row>
    <row r="25" spans="1:26" s="10" customFormat="1" ht="12.75" x14ac:dyDescent="0.2">
      <c r="N25" s="23"/>
      <c r="O25" s="24"/>
      <c r="P25" s="24"/>
      <c r="Q25" s="24"/>
      <c r="R25" s="30"/>
      <c r="S25" s="30"/>
      <c r="T25" s="30"/>
      <c r="U25" s="30"/>
      <c r="V25" s="30"/>
    </row>
    <row r="26" spans="1:26" s="10" customFormat="1" ht="12.75" x14ac:dyDescent="0.2">
      <c r="I26" s="31"/>
      <c r="J26" s="31"/>
      <c r="K26" s="31"/>
      <c r="L26" s="31"/>
      <c r="M26" s="31"/>
      <c r="N26" s="31"/>
      <c r="O26" s="31"/>
    </row>
    <row r="27" spans="1:26" s="10" customFormat="1" ht="12.75" x14ac:dyDescent="0.2">
      <c r="I27" s="31"/>
      <c r="J27" s="31"/>
      <c r="K27" s="31"/>
      <c r="L27" s="31"/>
      <c r="M27" s="31"/>
      <c r="N27" s="31"/>
      <c r="O27" s="31"/>
    </row>
    <row r="28" spans="1:26" s="10" customFormat="1" ht="12.75" x14ac:dyDescent="0.2">
      <c r="A28" s="5"/>
      <c r="B28" s="34"/>
      <c r="C28" s="23"/>
      <c r="D28" s="23"/>
      <c r="E28" s="23"/>
      <c r="F28" s="23"/>
      <c r="G28" s="32"/>
      <c r="H28" s="23"/>
      <c r="I28" s="31"/>
      <c r="Z28" s="33"/>
    </row>
    <row r="29" spans="1:26" x14ac:dyDescent="0.25">
      <c r="I29" s="30"/>
      <c r="J29" s="30"/>
      <c r="K29" s="30"/>
    </row>
  </sheetData>
  <mergeCells count="11">
    <mergeCell ref="M3:M4"/>
    <mergeCell ref="B2:M2"/>
    <mergeCell ref="B3:B4"/>
    <mergeCell ref="C3:C4"/>
    <mergeCell ref="D3:D4"/>
    <mergeCell ref="E3:E4"/>
    <mergeCell ref="F3:F4"/>
    <mergeCell ref="G3:G4"/>
    <mergeCell ref="H3:H4"/>
    <mergeCell ref="I3:I4"/>
    <mergeCell ref="J3:L3"/>
  </mergeCells>
  <pageMargins left="0.31496062992125984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55"/>
  <sheetViews>
    <sheetView topLeftCell="A28" zoomScale="70" zoomScaleNormal="70" zoomScaleSheetLayoutView="70" workbookViewId="0">
      <selection activeCell="P46" sqref="P46"/>
    </sheetView>
  </sheetViews>
  <sheetFormatPr defaultRowHeight="15" x14ac:dyDescent="0.25"/>
  <cols>
    <col min="1" max="1" width="6.28515625" customWidth="1"/>
    <col min="2" max="2" width="28.28515625" customWidth="1"/>
    <col min="3" max="3" width="13.140625" customWidth="1"/>
    <col min="4" max="4" width="15" customWidth="1"/>
    <col min="5" max="5" width="17" style="57" customWidth="1"/>
    <col min="6" max="6" width="18.28515625" style="57" customWidth="1"/>
    <col min="7" max="7" width="16.42578125" style="57" customWidth="1"/>
    <col min="8" max="8" width="17.7109375" style="57" customWidth="1"/>
    <col min="9" max="16" width="15" style="197" customWidth="1"/>
    <col min="17" max="17" width="12.42578125" customWidth="1"/>
    <col min="18" max="18" width="11.5703125" customWidth="1"/>
    <col min="19" max="19" width="11.85546875" customWidth="1"/>
  </cols>
  <sheetData>
    <row r="1" spans="1:19" s="49" customFormat="1" ht="11.25" x14ac:dyDescent="0.2">
      <c r="E1" s="190"/>
      <c r="F1" s="190"/>
      <c r="G1" s="190"/>
      <c r="H1" s="190"/>
      <c r="I1" s="190"/>
      <c r="J1" s="190"/>
      <c r="K1" s="190"/>
      <c r="L1" s="190"/>
      <c r="M1" s="190"/>
      <c r="N1" s="191" t="s">
        <v>51</v>
      </c>
      <c r="O1" s="190"/>
      <c r="P1" s="191" t="s">
        <v>51</v>
      </c>
    </row>
    <row r="2" spans="1:19" s="49" customFormat="1" ht="11.25" x14ac:dyDescent="0.2">
      <c r="E2" s="190"/>
      <c r="F2" s="190"/>
      <c r="G2" s="190"/>
      <c r="H2" s="190"/>
      <c r="I2" s="190"/>
      <c r="J2" s="190"/>
      <c r="K2" s="191"/>
      <c r="L2" s="254" t="s">
        <v>52</v>
      </c>
      <c r="M2" s="254"/>
      <c r="N2" s="254"/>
      <c r="O2" s="191"/>
      <c r="P2" s="191"/>
    </row>
    <row r="3" spans="1:19" s="49" customFormat="1" ht="11.25" x14ac:dyDescent="0.2">
      <c r="E3" s="190"/>
      <c r="F3" s="190"/>
      <c r="G3" s="190"/>
      <c r="H3" s="190"/>
      <c r="I3" s="190"/>
      <c r="J3" s="190"/>
      <c r="K3" s="191"/>
      <c r="L3" s="254" t="s">
        <v>53</v>
      </c>
      <c r="M3" s="254"/>
      <c r="N3" s="254"/>
      <c r="O3" s="191"/>
      <c r="P3" s="191"/>
    </row>
    <row r="4" spans="1:19" s="49" customFormat="1" ht="11.25" x14ac:dyDescent="0.2">
      <c r="E4" s="190"/>
      <c r="F4" s="190"/>
      <c r="G4" s="190"/>
      <c r="H4" s="190"/>
      <c r="I4" s="190"/>
      <c r="J4" s="190"/>
      <c r="K4" s="254" t="s">
        <v>54</v>
      </c>
      <c r="L4" s="254"/>
      <c r="M4" s="254"/>
      <c r="N4" s="254"/>
      <c r="O4" s="191"/>
      <c r="P4" s="191"/>
    </row>
    <row r="5" spans="1:19" ht="15.75" customHeight="1" x14ac:dyDescent="0.25">
      <c r="A5" s="255" t="s">
        <v>55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192"/>
      <c r="P5" s="192"/>
    </row>
    <row r="6" spans="1:19" ht="27" customHeight="1" thickBot="1" x14ac:dyDescent="0.3">
      <c r="A6" s="261" t="s">
        <v>171</v>
      </c>
      <c r="B6" s="261"/>
      <c r="C6" s="261"/>
      <c r="D6" s="261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193"/>
      <c r="P6" s="193"/>
    </row>
    <row r="7" spans="1:19" s="49" customFormat="1" ht="15.75" customHeight="1" thickBot="1" x14ac:dyDescent="0.25">
      <c r="A7" s="256" t="s">
        <v>13</v>
      </c>
      <c r="B7" s="258" t="s">
        <v>56</v>
      </c>
      <c r="C7" s="258" t="s">
        <v>57</v>
      </c>
      <c r="D7" s="260" t="s">
        <v>58</v>
      </c>
      <c r="E7" s="251" t="s">
        <v>59</v>
      </c>
      <c r="F7" s="252"/>
      <c r="G7" s="252"/>
      <c r="H7" s="252"/>
      <c r="I7" s="252"/>
      <c r="J7" s="252"/>
      <c r="K7" s="252"/>
      <c r="L7" s="252"/>
      <c r="M7" s="252"/>
      <c r="N7" s="252"/>
      <c r="O7" s="252"/>
      <c r="P7" s="253"/>
    </row>
    <row r="8" spans="1:19" s="49" customFormat="1" ht="71.25" customHeight="1" x14ac:dyDescent="0.2">
      <c r="A8" s="257"/>
      <c r="B8" s="259"/>
      <c r="C8" s="259"/>
      <c r="D8" s="259"/>
      <c r="E8" s="263" t="s">
        <v>170</v>
      </c>
      <c r="F8" s="264"/>
      <c r="G8" s="263" t="s">
        <v>167</v>
      </c>
      <c r="H8" s="264"/>
      <c r="I8" s="265" t="s">
        <v>169</v>
      </c>
      <c r="J8" s="266"/>
      <c r="K8" s="265" t="s">
        <v>173</v>
      </c>
      <c r="L8" s="266"/>
      <c r="M8" s="250" t="s">
        <v>168</v>
      </c>
      <c r="N8" s="250"/>
      <c r="O8" s="250" t="s">
        <v>193</v>
      </c>
      <c r="P8" s="250"/>
    </row>
    <row r="9" spans="1:19" s="49" customFormat="1" ht="26.25" customHeight="1" x14ac:dyDescent="0.35">
      <c r="A9" s="257"/>
      <c r="B9" s="259"/>
      <c r="C9" s="259"/>
      <c r="D9" s="259"/>
      <c r="E9" s="194" t="s">
        <v>57</v>
      </c>
      <c r="F9" s="194" t="s">
        <v>60</v>
      </c>
      <c r="G9" s="194" t="s">
        <v>57</v>
      </c>
      <c r="H9" s="194" t="s">
        <v>60</v>
      </c>
      <c r="I9" s="194" t="s">
        <v>57</v>
      </c>
      <c r="J9" s="194" t="s">
        <v>60</v>
      </c>
      <c r="K9" s="194" t="s">
        <v>57</v>
      </c>
      <c r="L9" s="194" t="s">
        <v>60</v>
      </c>
      <c r="M9" s="194" t="s">
        <v>57</v>
      </c>
      <c r="N9" s="194" t="s">
        <v>60</v>
      </c>
      <c r="O9" s="194" t="s">
        <v>57</v>
      </c>
      <c r="P9" s="194" t="s">
        <v>60</v>
      </c>
      <c r="Q9" s="123">
        <v>6</v>
      </c>
    </row>
    <row r="10" spans="1:19" s="49" customFormat="1" ht="15.75" customHeight="1" x14ac:dyDescent="0.2">
      <c r="A10" s="155">
        <v>1</v>
      </c>
      <c r="B10" s="156">
        <v>2</v>
      </c>
      <c r="C10" s="156">
        <v>3</v>
      </c>
      <c r="D10" s="156">
        <v>4</v>
      </c>
      <c r="E10" s="195">
        <v>5</v>
      </c>
      <c r="F10" s="195">
        <v>6</v>
      </c>
      <c r="G10" s="195">
        <v>7</v>
      </c>
      <c r="H10" s="195">
        <v>8</v>
      </c>
      <c r="I10" s="196">
        <v>9</v>
      </c>
      <c r="J10" s="196">
        <v>10</v>
      </c>
      <c r="K10" s="196">
        <v>9</v>
      </c>
      <c r="L10" s="196">
        <v>10</v>
      </c>
      <c r="M10" s="196">
        <v>9</v>
      </c>
      <c r="N10" s="196">
        <v>10</v>
      </c>
      <c r="O10" s="196">
        <v>9</v>
      </c>
      <c r="P10" s="196">
        <v>10</v>
      </c>
    </row>
    <row r="11" spans="1:19" s="53" customFormat="1" ht="47.25" x14ac:dyDescent="0.25">
      <c r="A11" s="98">
        <v>1</v>
      </c>
      <c r="B11" s="99" t="s">
        <v>61</v>
      </c>
      <c r="C11" s="100">
        <f>C12</f>
        <v>7.5</v>
      </c>
      <c r="D11" s="100">
        <f t="shared" ref="D11:J11" si="0">D12</f>
        <v>3924.6731692736657</v>
      </c>
      <c r="E11" s="100">
        <f t="shared" si="0"/>
        <v>1.6666666666666667</v>
      </c>
      <c r="F11" s="100">
        <f t="shared" si="0"/>
        <v>805.312624660849</v>
      </c>
      <c r="G11" s="100">
        <f t="shared" si="0"/>
        <v>1.1666666666666665</v>
      </c>
      <c r="H11" s="100">
        <f t="shared" si="0"/>
        <v>623.87210892256348</v>
      </c>
      <c r="I11" s="100">
        <f t="shared" si="0"/>
        <v>1.1666666666666665</v>
      </c>
      <c r="J11" s="100">
        <f t="shared" si="0"/>
        <v>623.87210892256348</v>
      </c>
      <c r="K11" s="100">
        <f t="shared" ref="K11" si="1">K12</f>
        <v>1.1666666666666665</v>
      </c>
      <c r="L11" s="100">
        <f t="shared" ref="L11" si="2">L12</f>
        <v>623.87210892256348</v>
      </c>
      <c r="M11" s="100">
        <f t="shared" ref="M11:O11" si="3">M12</f>
        <v>1.1666666666666665</v>
      </c>
      <c r="N11" s="100">
        <f t="shared" ref="N11:P11" si="4">N12</f>
        <v>623.87210892256348</v>
      </c>
      <c r="O11" s="100">
        <f t="shared" si="3"/>
        <v>1.1666666666666665</v>
      </c>
      <c r="P11" s="100">
        <f t="shared" si="4"/>
        <v>623.87210892256348</v>
      </c>
    </row>
    <row r="12" spans="1:19" s="53" customFormat="1" ht="15.75" x14ac:dyDescent="0.25">
      <c r="A12" s="98" t="s">
        <v>62</v>
      </c>
      <c r="B12" s="101" t="s">
        <v>63</v>
      </c>
      <c r="C12" s="100">
        <f>SUM(C13:C20)</f>
        <v>7.5</v>
      </c>
      <c r="D12" s="100">
        <f>SUM(D13:D20)</f>
        <v>3924.6731692736657</v>
      </c>
      <c r="E12" s="100">
        <f>SUM(E13:E20)</f>
        <v>1.6666666666666667</v>
      </c>
      <c r="F12" s="100">
        <f t="shared" ref="F12:J12" si="5">SUM(F13:F20)</f>
        <v>805.312624660849</v>
      </c>
      <c r="G12" s="100">
        <f t="shared" si="5"/>
        <v>1.1666666666666665</v>
      </c>
      <c r="H12" s="100">
        <f t="shared" si="5"/>
        <v>623.87210892256348</v>
      </c>
      <c r="I12" s="100">
        <f>SUM(I13:I20)</f>
        <v>1.1666666666666665</v>
      </c>
      <c r="J12" s="100">
        <f t="shared" si="5"/>
        <v>623.87210892256348</v>
      </c>
      <c r="K12" s="100">
        <f>SUM(K13:K20)</f>
        <v>1.1666666666666665</v>
      </c>
      <c r="L12" s="100">
        <f t="shared" ref="L12" si="6">SUM(L13:L20)</f>
        <v>623.87210892256348</v>
      </c>
      <c r="M12" s="100">
        <f>SUM(M13:M20)</f>
        <v>1.1666666666666665</v>
      </c>
      <c r="N12" s="100">
        <f t="shared" ref="N12:P12" si="7">SUM(N13:N20)</f>
        <v>623.87210892256348</v>
      </c>
      <c r="O12" s="100">
        <f>SUM(O13:O20)</f>
        <v>1.1666666666666665</v>
      </c>
      <c r="P12" s="100">
        <f t="shared" si="7"/>
        <v>623.87210892256348</v>
      </c>
    </row>
    <row r="13" spans="1:19" s="206" customFormat="1" ht="15.75" x14ac:dyDescent="0.25">
      <c r="A13" s="207"/>
      <c r="B13" s="208" t="s">
        <v>21</v>
      </c>
      <c r="C13" s="209">
        <v>1</v>
      </c>
      <c r="D13" s="210">
        <f>ЗП!D9/1000</f>
        <v>362.8811780230327</v>
      </c>
      <c r="E13" s="211">
        <f>C13/6</f>
        <v>0.16666666666666666</v>
      </c>
      <c r="F13" s="211">
        <f>D13/6</f>
        <v>60.480196337172117</v>
      </c>
      <c r="G13" s="211">
        <f>C13/6</f>
        <v>0.16666666666666666</v>
      </c>
      <c r="H13" s="211">
        <f>D13/6</f>
        <v>60.480196337172117</v>
      </c>
      <c r="I13" s="211">
        <f>C13/6</f>
        <v>0.16666666666666666</v>
      </c>
      <c r="J13" s="211">
        <f>D13/$Q$9</f>
        <v>60.480196337172117</v>
      </c>
      <c r="K13" s="211">
        <f>C13/6</f>
        <v>0.16666666666666666</v>
      </c>
      <c r="L13" s="211">
        <f>D13/6</f>
        <v>60.480196337172117</v>
      </c>
      <c r="M13" s="211">
        <f>C13/6</f>
        <v>0.16666666666666666</v>
      </c>
      <c r="N13" s="211">
        <f>D13/6</f>
        <v>60.480196337172117</v>
      </c>
      <c r="O13" s="211">
        <f>C13/6</f>
        <v>0.16666666666666666</v>
      </c>
      <c r="P13" s="211">
        <f>D13/6</f>
        <v>60.480196337172117</v>
      </c>
      <c r="Q13" s="203">
        <f>R13-S13</f>
        <v>-60.480196337172117</v>
      </c>
      <c r="R13" s="204">
        <f t="shared" ref="R13:R20" si="8">N13+L13+J13+H13+F13</f>
        <v>302.40098168586059</v>
      </c>
      <c r="S13" s="205">
        <f t="shared" ref="S13:S20" si="9">D13</f>
        <v>362.8811780230327</v>
      </c>
    </row>
    <row r="14" spans="1:19" s="206" customFormat="1" ht="15.75" x14ac:dyDescent="0.25">
      <c r="A14" s="207"/>
      <c r="B14" s="212" t="s">
        <v>183</v>
      </c>
      <c r="C14" s="209">
        <v>0.5</v>
      </c>
      <c r="D14" s="210">
        <f>ЗП!D10/1000</f>
        <v>111.87622927067676</v>
      </c>
      <c r="E14" s="211">
        <f t="shared" ref="E14:E20" si="10">C14/6</f>
        <v>8.3333333333333329E-2</v>
      </c>
      <c r="F14" s="211">
        <f t="shared" ref="F14:F20" si="11">D14/6</f>
        <v>18.646038211779459</v>
      </c>
      <c r="G14" s="211">
        <f t="shared" ref="G14:G20" si="12">C14/6</f>
        <v>8.3333333333333329E-2</v>
      </c>
      <c r="H14" s="211">
        <f t="shared" ref="H14:H20" si="13">D14/6</f>
        <v>18.646038211779459</v>
      </c>
      <c r="I14" s="211">
        <f t="shared" ref="I14:I20" si="14">C14/6</f>
        <v>8.3333333333333329E-2</v>
      </c>
      <c r="J14" s="211">
        <f t="shared" ref="J14:J20" si="15">D14/$Q$9</f>
        <v>18.646038211779459</v>
      </c>
      <c r="K14" s="211">
        <f t="shared" ref="K14:K20" si="16">C14/6</f>
        <v>8.3333333333333329E-2</v>
      </c>
      <c r="L14" s="211">
        <f t="shared" ref="L14:L20" si="17">D14/6</f>
        <v>18.646038211779459</v>
      </c>
      <c r="M14" s="211">
        <f t="shared" ref="M14:M20" si="18">C14/6</f>
        <v>8.3333333333333329E-2</v>
      </c>
      <c r="N14" s="211">
        <f t="shared" ref="N14:N20" si="19">D14/6</f>
        <v>18.646038211779459</v>
      </c>
      <c r="O14" s="211">
        <f t="shared" ref="O14:O20" si="20">C14/6</f>
        <v>8.3333333333333329E-2</v>
      </c>
      <c r="P14" s="211">
        <f t="shared" ref="P14:P20" si="21">D14/6</f>
        <v>18.646038211779459</v>
      </c>
      <c r="Q14" s="203">
        <f t="shared" ref="Q14:Q43" si="22">R14-S14</f>
        <v>-18.646038211779469</v>
      </c>
      <c r="R14" s="204">
        <f t="shared" si="8"/>
        <v>93.23019105889729</v>
      </c>
      <c r="S14" s="205">
        <f t="shared" si="9"/>
        <v>111.87622927067676</v>
      </c>
    </row>
    <row r="15" spans="1:19" s="206" customFormat="1" ht="15.75" x14ac:dyDescent="0.25">
      <c r="A15" s="207"/>
      <c r="B15" s="212" t="s">
        <v>22</v>
      </c>
      <c r="C15" s="209">
        <v>0</v>
      </c>
      <c r="D15" s="210">
        <f>ЗП!D11/1000</f>
        <v>0</v>
      </c>
      <c r="E15" s="211">
        <f t="shared" si="10"/>
        <v>0</v>
      </c>
      <c r="F15" s="211">
        <f t="shared" si="11"/>
        <v>0</v>
      </c>
      <c r="G15" s="211">
        <f t="shared" si="12"/>
        <v>0</v>
      </c>
      <c r="H15" s="211">
        <f t="shared" si="13"/>
        <v>0</v>
      </c>
      <c r="I15" s="211">
        <f t="shared" si="14"/>
        <v>0</v>
      </c>
      <c r="J15" s="211">
        <v>0</v>
      </c>
      <c r="K15" s="211">
        <f t="shared" si="16"/>
        <v>0</v>
      </c>
      <c r="L15" s="211">
        <f t="shared" si="17"/>
        <v>0</v>
      </c>
      <c r="M15" s="211">
        <f t="shared" si="18"/>
        <v>0</v>
      </c>
      <c r="N15" s="211">
        <f t="shared" si="19"/>
        <v>0</v>
      </c>
      <c r="O15" s="211">
        <f t="shared" si="20"/>
        <v>0</v>
      </c>
      <c r="P15" s="211">
        <f t="shared" si="21"/>
        <v>0</v>
      </c>
      <c r="Q15" s="203">
        <f t="shared" si="22"/>
        <v>0</v>
      </c>
      <c r="R15" s="204">
        <f t="shared" si="8"/>
        <v>0</v>
      </c>
      <c r="S15" s="205">
        <f t="shared" si="9"/>
        <v>0</v>
      </c>
    </row>
    <row r="16" spans="1:19" s="206" customFormat="1" ht="15.75" x14ac:dyDescent="0.25">
      <c r="A16" s="207"/>
      <c r="B16" s="212" t="s">
        <v>23</v>
      </c>
      <c r="C16" s="209">
        <v>0.5</v>
      </c>
      <c r="D16" s="210">
        <f>ЗП!D12/1000</f>
        <v>181.44051573828551</v>
      </c>
      <c r="E16" s="211">
        <f t="shared" si="10"/>
        <v>8.3333333333333329E-2</v>
      </c>
      <c r="F16" s="211">
        <f t="shared" si="11"/>
        <v>30.24008595638092</v>
      </c>
      <c r="G16" s="211">
        <f t="shared" si="12"/>
        <v>8.3333333333333329E-2</v>
      </c>
      <c r="H16" s="211">
        <f t="shared" si="13"/>
        <v>30.24008595638092</v>
      </c>
      <c r="I16" s="211">
        <f t="shared" si="14"/>
        <v>8.3333333333333329E-2</v>
      </c>
      <c r="J16" s="211">
        <f t="shared" si="15"/>
        <v>30.24008595638092</v>
      </c>
      <c r="K16" s="211">
        <f t="shared" si="16"/>
        <v>8.3333333333333329E-2</v>
      </c>
      <c r="L16" s="211">
        <f t="shared" si="17"/>
        <v>30.24008595638092</v>
      </c>
      <c r="M16" s="211">
        <f t="shared" si="18"/>
        <v>8.3333333333333329E-2</v>
      </c>
      <c r="N16" s="211">
        <f t="shared" si="19"/>
        <v>30.24008595638092</v>
      </c>
      <c r="O16" s="211">
        <f t="shared" si="20"/>
        <v>8.3333333333333329E-2</v>
      </c>
      <c r="P16" s="211">
        <f t="shared" si="21"/>
        <v>30.24008595638092</v>
      </c>
      <c r="Q16" s="203">
        <f t="shared" si="22"/>
        <v>-30.240085956380909</v>
      </c>
      <c r="R16" s="204">
        <f t="shared" si="8"/>
        <v>151.2004297819046</v>
      </c>
      <c r="S16" s="205">
        <f t="shared" si="9"/>
        <v>181.44051573828551</v>
      </c>
    </row>
    <row r="17" spans="1:19" s="206" customFormat="1" ht="15.75" x14ac:dyDescent="0.25">
      <c r="A17" s="207"/>
      <c r="B17" s="212" t="s">
        <v>24</v>
      </c>
      <c r="C17" s="209">
        <v>1</v>
      </c>
      <c r="D17" s="210">
        <f>ЗП!D13/1000</f>
        <v>362.8811780230327</v>
      </c>
      <c r="E17" s="211">
        <f t="shared" si="10"/>
        <v>0.16666666666666666</v>
      </c>
      <c r="F17" s="211">
        <f t="shared" si="11"/>
        <v>60.480196337172117</v>
      </c>
      <c r="G17" s="211">
        <f t="shared" si="12"/>
        <v>0.16666666666666666</v>
      </c>
      <c r="H17" s="211">
        <f t="shared" si="13"/>
        <v>60.480196337172117</v>
      </c>
      <c r="I17" s="211">
        <f t="shared" si="14"/>
        <v>0.16666666666666666</v>
      </c>
      <c r="J17" s="211">
        <f t="shared" si="15"/>
        <v>60.480196337172117</v>
      </c>
      <c r="K17" s="211">
        <f t="shared" si="16"/>
        <v>0.16666666666666666</v>
      </c>
      <c r="L17" s="211">
        <f t="shared" si="17"/>
        <v>60.480196337172117</v>
      </c>
      <c r="M17" s="211">
        <f t="shared" si="18"/>
        <v>0.16666666666666666</v>
      </c>
      <c r="N17" s="211">
        <f t="shared" si="19"/>
        <v>60.480196337172117</v>
      </c>
      <c r="O17" s="211">
        <f t="shared" si="20"/>
        <v>0.16666666666666666</v>
      </c>
      <c r="P17" s="211">
        <f t="shared" si="21"/>
        <v>60.480196337172117</v>
      </c>
      <c r="Q17" s="203">
        <f t="shared" si="22"/>
        <v>-60.480196337172117</v>
      </c>
      <c r="R17" s="204">
        <f t="shared" si="8"/>
        <v>302.40098168586059</v>
      </c>
      <c r="S17" s="205">
        <f t="shared" si="9"/>
        <v>362.8811780230327</v>
      </c>
    </row>
    <row r="18" spans="1:19" s="206" customFormat="1" ht="15.75" x14ac:dyDescent="0.25">
      <c r="A18" s="207"/>
      <c r="B18" s="212" t="s">
        <v>25</v>
      </c>
      <c r="C18" s="209">
        <v>0.5</v>
      </c>
      <c r="D18" s="210">
        <f>ЗП!D14/1000</f>
        <v>181.44051573828551</v>
      </c>
      <c r="E18" s="211">
        <v>0.5</v>
      </c>
      <c r="F18" s="213">
        <f>D18</f>
        <v>181.44051573828551</v>
      </c>
      <c r="G18" s="211">
        <v>0</v>
      </c>
      <c r="H18" s="211">
        <v>0</v>
      </c>
      <c r="I18" s="211">
        <v>0</v>
      </c>
      <c r="J18" s="211">
        <v>0</v>
      </c>
      <c r="K18" s="211">
        <v>0</v>
      </c>
      <c r="L18" s="211">
        <v>0</v>
      </c>
      <c r="M18" s="211">
        <v>0</v>
      </c>
      <c r="N18" s="211">
        <v>0</v>
      </c>
      <c r="O18" s="211">
        <v>0</v>
      </c>
      <c r="P18" s="211">
        <v>0</v>
      </c>
      <c r="Q18" s="203">
        <f t="shared" si="22"/>
        <v>0</v>
      </c>
      <c r="R18" s="204">
        <f t="shared" si="8"/>
        <v>181.44051573828551</v>
      </c>
      <c r="S18" s="205">
        <f t="shared" si="9"/>
        <v>181.44051573828551</v>
      </c>
    </row>
    <row r="19" spans="1:19" ht="15.75" x14ac:dyDescent="0.25">
      <c r="A19" s="54"/>
      <c r="B19" s="102" t="s">
        <v>26</v>
      </c>
      <c r="C19" s="55">
        <v>1</v>
      </c>
      <c r="D19" s="103">
        <f>ЗП!D15/1000</f>
        <v>362.8811780230327</v>
      </c>
      <c r="E19" s="56">
        <f t="shared" si="10"/>
        <v>0.16666666666666666</v>
      </c>
      <c r="F19" s="56">
        <f t="shared" si="11"/>
        <v>60.480196337172117</v>
      </c>
      <c r="G19" s="56">
        <f t="shared" si="12"/>
        <v>0.16666666666666666</v>
      </c>
      <c r="H19" s="56">
        <f t="shared" si="13"/>
        <v>60.480196337172117</v>
      </c>
      <c r="I19" s="56">
        <f t="shared" si="14"/>
        <v>0.16666666666666666</v>
      </c>
      <c r="J19" s="56">
        <f t="shared" si="15"/>
        <v>60.480196337172117</v>
      </c>
      <c r="K19" s="56">
        <f t="shared" si="16"/>
        <v>0.16666666666666666</v>
      </c>
      <c r="L19" s="56">
        <f t="shared" si="17"/>
        <v>60.480196337172117</v>
      </c>
      <c r="M19" s="56">
        <f t="shared" si="18"/>
        <v>0.16666666666666666</v>
      </c>
      <c r="N19" s="56">
        <f t="shared" si="19"/>
        <v>60.480196337172117</v>
      </c>
      <c r="O19" s="56">
        <f t="shared" si="20"/>
        <v>0.16666666666666666</v>
      </c>
      <c r="P19" s="56">
        <f t="shared" si="21"/>
        <v>60.480196337172117</v>
      </c>
      <c r="Q19" s="97">
        <f t="shared" si="22"/>
        <v>-60.480196337172117</v>
      </c>
      <c r="R19" s="96">
        <f t="shared" si="8"/>
        <v>302.40098168586059</v>
      </c>
      <c r="S19" s="36">
        <f t="shared" si="9"/>
        <v>362.8811780230327</v>
      </c>
    </row>
    <row r="20" spans="1:19" ht="15.75" x14ac:dyDescent="0.25">
      <c r="A20" s="54"/>
      <c r="B20" s="102" t="s">
        <v>27</v>
      </c>
      <c r="C20" s="55">
        <v>3</v>
      </c>
      <c r="D20" s="103">
        <f>ЗП!D16/1000</f>
        <v>2361.27237445732</v>
      </c>
      <c r="E20" s="56">
        <f t="shared" si="10"/>
        <v>0.5</v>
      </c>
      <c r="F20" s="56">
        <f t="shared" si="11"/>
        <v>393.54539574288668</v>
      </c>
      <c r="G20" s="56">
        <f t="shared" si="12"/>
        <v>0.5</v>
      </c>
      <c r="H20" s="56">
        <f t="shared" si="13"/>
        <v>393.54539574288668</v>
      </c>
      <c r="I20" s="56">
        <f t="shared" si="14"/>
        <v>0.5</v>
      </c>
      <c r="J20" s="56">
        <f t="shared" si="15"/>
        <v>393.54539574288668</v>
      </c>
      <c r="K20" s="56">
        <f t="shared" si="16"/>
        <v>0.5</v>
      </c>
      <c r="L20" s="56">
        <f t="shared" si="17"/>
        <v>393.54539574288668</v>
      </c>
      <c r="M20" s="56">
        <f t="shared" si="18"/>
        <v>0.5</v>
      </c>
      <c r="N20" s="56">
        <f t="shared" si="19"/>
        <v>393.54539574288668</v>
      </c>
      <c r="O20" s="56">
        <f t="shared" si="20"/>
        <v>0.5</v>
      </c>
      <c r="P20" s="56">
        <f t="shared" si="21"/>
        <v>393.54539574288668</v>
      </c>
      <c r="Q20" s="97">
        <f t="shared" si="22"/>
        <v>-393.54539574288651</v>
      </c>
      <c r="R20" s="96">
        <f t="shared" si="8"/>
        <v>1967.7269787144335</v>
      </c>
      <c r="S20" s="36">
        <f t="shared" si="9"/>
        <v>2361.27237445732</v>
      </c>
    </row>
    <row r="21" spans="1:19" ht="33.75" customHeight="1" x14ac:dyDescent="0.25">
      <c r="A21" s="104"/>
      <c r="B21" s="105" t="s">
        <v>64</v>
      </c>
      <c r="C21" s="106" t="s">
        <v>66</v>
      </c>
      <c r="D21" s="100">
        <f>D12</f>
        <v>3924.6731692736657</v>
      </c>
      <c r="E21" s="100">
        <f t="shared" ref="E21:J21" si="23">E12</f>
        <v>1.6666666666666667</v>
      </c>
      <c r="F21" s="100">
        <f t="shared" si="23"/>
        <v>805.312624660849</v>
      </c>
      <c r="G21" s="100">
        <f t="shared" si="23"/>
        <v>1.1666666666666665</v>
      </c>
      <c r="H21" s="100">
        <f t="shared" si="23"/>
        <v>623.87210892256348</v>
      </c>
      <c r="I21" s="100">
        <f t="shared" si="23"/>
        <v>1.1666666666666665</v>
      </c>
      <c r="J21" s="100">
        <f t="shared" si="23"/>
        <v>623.87210892256348</v>
      </c>
      <c r="K21" s="100">
        <f t="shared" ref="K21:N21" si="24">K12</f>
        <v>1.1666666666666665</v>
      </c>
      <c r="L21" s="100">
        <f t="shared" si="24"/>
        <v>623.87210892256348</v>
      </c>
      <c r="M21" s="100">
        <f t="shared" si="24"/>
        <v>1.1666666666666665</v>
      </c>
      <c r="N21" s="100">
        <f t="shared" si="24"/>
        <v>623.87210892256348</v>
      </c>
      <c r="O21" s="100">
        <f t="shared" ref="O21:P21" si="25">O12</f>
        <v>1.1666666666666665</v>
      </c>
      <c r="P21" s="100">
        <f t="shared" si="25"/>
        <v>623.87210892256348</v>
      </c>
      <c r="Q21" s="97"/>
      <c r="R21" s="96"/>
      <c r="S21" s="36"/>
    </row>
    <row r="22" spans="1:19" s="180" customFormat="1" ht="47.25" x14ac:dyDescent="0.25">
      <c r="A22" s="174"/>
      <c r="B22" s="175" t="s">
        <v>65</v>
      </c>
      <c r="C22" s="176" t="s">
        <v>66</v>
      </c>
      <c r="D22" s="173">
        <f>D21*30.05%</f>
        <v>1179.3642873667366</v>
      </c>
      <c r="E22" s="176" t="s">
        <v>66</v>
      </c>
      <c r="F22" s="173">
        <f>F21*30.05%</f>
        <v>241.99644371058511</v>
      </c>
      <c r="G22" s="176" t="s">
        <v>66</v>
      </c>
      <c r="H22" s="173">
        <f>H21*30.05%</f>
        <v>187.47356873123033</v>
      </c>
      <c r="I22" s="176" t="s">
        <v>66</v>
      </c>
      <c r="J22" s="173">
        <f>J21*30.05%</f>
        <v>187.47356873123033</v>
      </c>
      <c r="K22" s="176" t="s">
        <v>66</v>
      </c>
      <c r="L22" s="173">
        <f>L21*30.05%</f>
        <v>187.47356873123033</v>
      </c>
      <c r="M22" s="176" t="s">
        <v>66</v>
      </c>
      <c r="N22" s="173">
        <f>N21*30.05%</f>
        <v>187.47356873123033</v>
      </c>
      <c r="O22" s="176" t="s">
        <v>66</v>
      </c>
      <c r="P22" s="173">
        <f>P21*30.05%</f>
        <v>187.47356873123033</v>
      </c>
      <c r="Q22" s="177"/>
      <c r="R22" s="178"/>
      <c r="S22" s="179"/>
    </row>
    <row r="23" spans="1:19" ht="31.5" x14ac:dyDescent="0.25">
      <c r="A23" s="104"/>
      <c r="B23" s="105" t="s">
        <v>67</v>
      </c>
      <c r="C23" s="106" t="s">
        <v>66</v>
      </c>
      <c r="D23" s="100">
        <f>D21+D22</f>
        <v>5104.0374566404025</v>
      </c>
      <c r="E23" s="106" t="s">
        <v>66</v>
      </c>
      <c r="F23" s="100">
        <f>F21+F22</f>
        <v>1047.309068371434</v>
      </c>
      <c r="G23" s="106" t="s">
        <v>66</v>
      </c>
      <c r="H23" s="100">
        <f>H21+H22</f>
        <v>811.34567765379381</v>
      </c>
      <c r="I23" s="106" t="s">
        <v>66</v>
      </c>
      <c r="J23" s="100">
        <f>J21+J22</f>
        <v>811.34567765379381</v>
      </c>
      <c r="K23" s="106" t="s">
        <v>66</v>
      </c>
      <c r="L23" s="100">
        <f>L21+L22</f>
        <v>811.34567765379381</v>
      </c>
      <c r="M23" s="106" t="s">
        <v>66</v>
      </c>
      <c r="N23" s="100">
        <f>N21+N22</f>
        <v>811.34567765379381</v>
      </c>
      <c r="O23" s="106" t="s">
        <v>66</v>
      </c>
      <c r="P23" s="100">
        <f>P21+P22</f>
        <v>811.34567765379381</v>
      </c>
      <c r="Q23" s="97"/>
      <c r="R23" s="96"/>
      <c r="S23" s="36"/>
    </row>
    <row r="24" spans="1:19" s="46" customFormat="1" ht="63" x14ac:dyDescent="0.25">
      <c r="A24" s="98">
        <v>2</v>
      </c>
      <c r="B24" s="107" t="s">
        <v>68</v>
      </c>
      <c r="C24" s="108">
        <f>C25+C31</f>
        <v>30</v>
      </c>
      <c r="D24" s="108">
        <f t="shared" ref="D24:J24" si="26">D25+D31</f>
        <v>11102.389430726333</v>
      </c>
      <c r="E24" s="100">
        <f t="shared" si="26"/>
        <v>17.916666666666668</v>
      </c>
      <c r="F24" s="100">
        <f t="shared" si="26"/>
        <v>6842.5052423293855</v>
      </c>
      <c r="G24" s="100">
        <f t="shared" si="26"/>
        <v>3.1666666666666661</v>
      </c>
      <c r="H24" s="100">
        <f t="shared" si="26"/>
        <v>1123.8475845662388</v>
      </c>
      <c r="I24" s="100">
        <f t="shared" si="26"/>
        <v>1.9166666666666665</v>
      </c>
      <c r="J24" s="100">
        <f t="shared" si="26"/>
        <v>670.72967308815657</v>
      </c>
      <c r="K24" s="100">
        <f t="shared" ref="K24" si="27">K25+K31</f>
        <v>1.9166666666666665</v>
      </c>
      <c r="L24" s="100">
        <f t="shared" ref="L24" si="28">L25+L31</f>
        <v>670.72967308815657</v>
      </c>
      <c r="M24" s="100">
        <f t="shared" ref="M24:O24" si="29">M25+M31</f>
        <v>3.1666666666666661</v>
      </c>
      <c r="N24" s="100">
        <f t="shared" ref="N24:P24" si="30">N25+N31</f>
        <v>1123.8475845662388</v>
      </c>
      <c r="O24" s="100">
        <f t="shared" si="29"/>
        <v>1.9166666666666665</v>
      </c>
      <c r="P24" s="100">
        <f t="shared" si="30"/>
        <v>670.72967308815657</v>
      </c>
      <c r="Q24" s="97"/>
      <c r="R24" s="96"/>
      <c r="S24" s="36"/>
    </row>
    <row r="25" spans="1:19" s="206" customFormat="1" ht="15.75" x14ac:dyDescent="0.25">
      <c r="A25" s="199" t="s">
        <v>69</v>
      </c>
      <c r="B25" s="200" t="s">
        <v>70</v>
      </c>
      <c r="C25" s="201">
        <f>SUM(C26:C30)</f>
        <v>5</v>
      </c>
      <c r="D25" s="202">
        <f>D26+D27+D28+D29+D30</f>
        <v>2023.2863289890111</v>
      </c>
      <c r="E25" s="202">
        <f>SUM(E26:E30)</f>
        <v>0.83333333333333326</v>
      </c>
      <c r="F25" s="202">
        <f>SUM(F26:F30)</f>
        <v>337.21438816483521</v>
      </c>
      <c r="G25" s="202">
        <f t="shared" ref="G25:N25" si="31">SUM(G26:G30)</f>
        <v>0.83333333333333326</v>
      </c>
      <c r="H25" s="202">
        <f t="shared" si="31"/>
        <v>337.21438816483521</v>
      </c>
      <c r="I25" s="202">
        <f t="shared" si="31"/>
        <v>0.83333333333333326</v>
      </c>
      <c r="J25" s="202">
        <f t="shared" si="31"/>
        <v>337.21438816483521</v>
      </c>
      <c r="K25" s="202">
        <f t="shared" si="31"/>
        <v>0.83333333333333326</v>
      </c>
      <c r="L25" s="202">
        <f t="shared" si="31"/>
        <v>337.21438816483521</v>
      </c>
      <c r="M25" s="202">
        <f t="shared" si="31"/>
        <v>0.83333333333333326</v>
      </c>
      <c r="N25" s="202">
        <f t="shared" si="31"/>
        <v>337.21438816483521</v>
      </c>
      <c r="O25" s="202">
        <f t="shared" ref="O25:P25" si="32">SUM(O26:O30)</f>
        <v>0.83333333333333326</v>
      </c>
      <c r="P25" s="202">
        <f t="shared" si="32"/>
        <v>337.21438816483521</v>
      </c>
      <c r="Q25" s="203"/>
      <c r="R25" s="204"/>
      <c r="S25" s="205"/>
    </row>
    <row r="26" spans="1:19" ht="15.75" x14ac:dyDescent="0.25">
      <c r="A26" s="54"/>
      <c r="B26" s="109" t="s">
        <v>16</v>
      </c>
      <c r="C26" s="110">
        <v>1</v>
      </c>
      <c r="D26" s="111">
        <f>ЗП!D3/1000</f>
        <v>527.20754704767569</v>
      </c>
      <c r="E26" s="113">
        <f>C26/6</f>
        <v>0.16666666666666666</v>
      </c>
      <c r="F26" s="113">
        <f>D26/6</f>
        <v>87.867924507945943</v>
      </c>
      <c r="G26" s="113">
        <f>C26/6</f>
        <v>0.16666666666666666</v>
      </c>
      <c r="H26" s="113">
        <f>D26/6</f>
        <v>87.867924507945943</v>
      </c>
      <c r="I26" s="113">
        <f>C26/6</f>
        <v>0.16666666666666666</v>
      </c>
      <c r="J26" s="113">
        <f>D26/6</f>
        <v>87.867924507945943</v>
      </c>
      <c r="K26" s="113">
        <f>C26/6</f>
        <v>0.16666666666666666</v>
      </c>
      <c r="L26" s="113">
        <f>D26/6</f>
        <v>87.867924507945943</v>
      </c>
      <c r="M26" s="113">
        <f>C26/6</f>
        <v>0.16666666666666666</v>
      </c>
      <c r="N26" s="113">
        <f>D26/6</f>
        <v>87.867924507945943</v>
      </c>
      <c r="O26" s="113">
        <f>C26/6</f>
        <v>0.16666666666666666</v>
      </c>
      <c r="P26" s="113">
        <f>D26/6</f>
        <v>87.867924507945943</v>
      </c>
      <c r="Q26" s="97">
        <f t="shared" si="22"/>
        <v>-87.867924507945986</v>
      </c>
      <c r="R26" s="96">
        <f>N26+L26+J26+H26+F26</f>
        <v>439.3396225397297</v>
      </c>
      <c r="S26" s="36">
        <f>D26</f>
        <v>527.20754704767569</v>
      </c>
    </row>
    <row r="27" spans="1:19" ht="45" x14ac:dyDescent="0.25">
      <c r="A27" s="54"/>
      <c r="B27" s="109" t="s">
        <v>17</v>
      </c>
      <c r="C27" s="112">
        <v>1</v>
      </c>
      <c r="D27" s="111">
        <f>ЗП!D4/1000</f>
        <v>369.99145452716482</v>
      </c>
      <c r="E27" s="113">
        <f t="shared" ref="E27:E30" si="33">C27/6</f>
        <v>0.16666666666666666</v>
      </c>
      <c r="F27" s="113">
        <f t="shared" ref="F27:F30" si="34">D27/6</f>
        <v>61.665242421194137</v>
      </c>
      <c r="G27" s="113">
        <f t="shared" ref="G27:G30" si="35">C27/6</f>
        <v>0.16666666666666666</v>
      </c>
      <c r="H27" s="113">
        <f t="shared" ref="H27:H30" si="36">D27/6</f>
        <v>61.665242421194137</v>
      </c>
      <c r="I27" s="113">
        <f t="shared" ref="I27:I30" si="37">C27/6</f>
        <v>0.16666666666666666</v>
      </c>
      <c r="J27" s="113">
        <f t="shared" ref="J27:J30" si="38">D27/6</f>
        <v>61.665242421194137</v>
      </c>
      <c r="K27" s="113">
        <f t="shared" ref="K27:K30" si="39">C27/6</f>
        <v>0.16666666666666666</v>
      </c>
      <c r="L27" s="113">
        <f t="shared" ref="L27:L30" si="40">D27/6</f>
        <v>61.665242421194137</v>
      </c>
      <c r="M27" s="113">
        <f t="shared" ref="M27:M30" si="41">C27/6</f>
        <v>0.16666666666666666</v>
      </c>
      <c r="N27" s="113">
        <f t="shared" ref="N27:N30" si="42">D27/6</f>
        <v>61.665242421194137</v>
      </c>
      <c r="O27" s="113">
        <f t="shared" ref="O27:O30" si="43">C27/6</f>
        <v>0.16666666666666666</v>
      </c>
      <c r="P27" s="113">
        <f t="shared" ref="P27:P30" si="44">D27/6</f>
        <v>61.665242421194137</v>
      </c>
      <c r="Q27" s="97">
        <f t="shared" si="22"/>
        <v>-61.665242421194137</v>
      </c>
      <c r="R27" s="96">
        <f t="shared" ref="R27:R43" si="45">N27+L27+J27+H27+F27</f>
        <v>308.32621210597068</v>
      </c>
      <c r="S27" s="36">
        <f t="shared" ref="S27:S43" si="46">D27</f>
        <v>369.99145452716482</v>
      </c>
    </row>
    <row r="28" spans="1:19" ht="15.75" x14ac:dyDescent="0.25">
      <c r="A28" s="54"/>
      <c r="B28" s="109" t="s">
        <v>18</v>
      </c>
      <c r="C28" s="112">
        <v>1</v>
      </c>
      <c r="D28" s="111">
        <f>ЗП!D5/1000</f>
        <v>369.99145452716482</v>
      </c>
      <c r="E28" s="113">
        <f t="shared" si="33"/>
        <v>0.16666666666666666</v>
      </c>
      <c r="F28" s="113">
        <f t="shared" si="34"/>
        <v>61.665242421194137</v>
      </c>
      <c r="G28" s="113">
        <f t="shared" si="35"/>
        <v>0.16666666666666666</v>
      </c>
      <c r="H28" s="113">
        <f t="shared" si="36"/>
        <v>61.665242421194137</v>
      </c>
      <c r="I28" s="113">
        <f t="shared" si="37"/>
        <v>0.16666666666666666</v>
      </c>
      <c r="J28" s="113">
        <f t="shared" si="38"/>
        <v>61.665242421194137</v>
      </c>
      <c r="K28" s="113">
        <f t="shared" si="39"/>
        <v>0.16666666666666666</v>
      </c>
      <c r="L28" s="113">
        <f t="shared" si="40"/>
        <v>61.665242421194137</v>
      </c>
      <c r="M28" s="113">
        <f t="shared" si="41"/>
        <v>0.16666666666666666</v>
      </c>
      <c r="N28" s="113">
        <f t="shared" si="42"/>
        <v>61.665242421194137</v>
      </c>
      <c r="O28" s="113">
        <f t="shared" si="43"/>
        <v>0.16666666666666666</v>
      </c>
      <c r="P28" s="113">
        <f t="shared" si="44"/>
        <v>61.665242421194137</v>
      </c>
      <c r="Q28" s="97">
        <f t="shared" si="22"/>
        <v>-61.665242421194137</v>
      </c>
      <c r="R28" s="96">
        <f t="shared" si="45"/>
        <v>308.32621210597068</v>
      </c>
      <c r="S28" s="36">
        <f t="shared" si="46"/>
        <v>369.99145452716482</v>
      </c>
    </row>
    <row r="29" spans="1:19" ht="15.75" x14ac:dyDescent="0.25">
      <c r="A29" s="54"/>
      <c r="B29" s="109" t="s">
        <v>181</v>
      </c>
      <c r="C29" s="112">
        <v>1</v>
      </c>
      <c r="D29" s="111">
        <f>ЗП!D6/1000</f>
        <v>390.78569853351462</v>
      </c>
      <c r="E29" s="113">
        <f t="shared" si="33"/>
        <v>0.16666666666666666</v>
      </c>
      <c r="F29" s="113">
        <f t="shared" si="34"/>
        <v>65.130949755585775</v>
      </c>
      <c r="G29" s="113">
        <f t="shared" si="35"/>
        <v>0.16666666666666666</v>
      </c>
      <c r="H29" s="113">
        <f t="shared" si="36"/>
        <v>65.130949755585775</v>
      </c>
      <c r="I29" s="113">
        <f t="shared" si="37"/>
        <v>0.16666666666666666</v>
      </c>
      <c r="J29" s="113">
        <f t="shared" si="38"/>
        <v>65.130949755585775</v>
      </c>
      <c r="K29" s="113">
        <f t="shared" si="39"/>
        <v>0.16666666666666666</v>
      </c>
      <c r="L29" s="113">
        <f t="shared" si="40"/>
        <v>65.130949755585775</v>
      </c>
      <c r="M29" s="113">
        <f t="shared" si="41"/>
        <v>0.16666666666666666</v>
      </c>
      <c r="N29" s="113">
        <f t="shared" si="42"/>
        <v>65.130949755585775</v>
      </c>
      <c r="O29" s="113">
        <f t="shared" si="43"/>
        <v>0.16666666666666666</v>
      </c>
      <c r="P29" s="113">
        <f t="shared" si="44"/>
        <v>65.130949755585775</v>
      </c>
      <c r="Q29" s="97"/>
      <c r="R29" s="96"/>
      <c r="S29" s="36"/>
    </row>
    <row r="30" spans="1:19" ht="30" x14ac:dyDescent="0.25">
      <c r="A30" s="54"/>
      <c r="B30" s="109" t="s">
        <v>19</v>
      </c>
      <c r="C30" s="112">
        <v>1</v>
      </c>
      <c r="D30" s="111">
        <f>ЗП!D7/1000</f>
        <v>365.31017435349116</v>
      </c>
      <c r="E30" s="113">
        <f t="shared" si="33"/>
        <v>0.16666666666666666</v>
      </c>
      <c r="F30" s="113">
        <f t="shared" si="34"/>
        <v>60.885029058915194</v>
      </c>
      <c r="G30" s="113">
        <f t="shared" si="35"/>
        <v>0.16666666666666666</v>
      </c>
      <c r="H30" s="113">
        <f t="shared" si="36"/>
        <v>60.885029058915194</v>
      </c>
      <c r="I30" s="113">
        <f t="shared" si="37"/>
        <v>0.16666666666666666</v>
      </c>
      <c r="J30" s="113">
        <f t="shared" si="38"/>
        <v>60.885029058915194</v>
      </c>
      <c r="K30" s="113">
        <f t="shared" si="39"/>
        <v>0.16666666666666666</v>
      </c>
      <c r="L30" s="113">
        <f t="shared" si="40"/>
        <v>60.885029058915194</v>
      </c>
      <c r="M30" s="113">
        <f t="shared" si="41"/>
        <v>0.16666666666666666</v>
      </c>
      <c r="N30" s="113">
        <f t="shared" si="42"/>
        <v>60.885029058915194</v>
      </c>
      <c r="O30" s="113">
        <f t="shared" si="43"/>
        <v>0.16666666666666666</v>
      </c>
      <c r="P30" s="113">
        <f t="shared" si="44"/>
        <v>60.885029058915194</v>
      </c>
      <c r="Q30" s="97">
        <f t="shared" si="22"/>
        <v>-60.885029058915222</v>
      </c>
      <c r="R30" s="96">
        <f t="shared" si="45"/>
        <v>304.42514529457594</v>
      </c>
      <c r="S30" s="36">
        <f t="shared" si="46"/>
        <v>365.31017435349116</v>
      </c>
    </row>
    <row r="31" spans="1:19" ht="24" customHeight="1" x14ac:dyDescent="0.25">
      <c r="A31" s="52" t="s">
        <v>71</v>
      </c>
      <c r="B31" s="101" t="s">
        <v>165</v>
      </c>
      <c r="C31" s="121">
        <f>SUM(C32:C43)</f>
        <v>25</v>
      </c>
      <c r="D31" s="100">
        <f>SUM(D32:D43)</f>
        <v>9079.1031017373225</v>
      </c>
      <c r="E31" s="100">
        <f t="shared" ref="E31:J31" si="47">SUM(E32:E43)</f>
        <v>17.083333333333336</v>
      </c>
      <c r="F31" s="100">
        <f t="shared" si="47"/>
        <v>6505.2908541645502</v>
      </c>
      <c r="G31" s="100">
        <f t="shared" si="47"/>
        <v>2.333333333333333</v>
      </c>
      <c r="H31" s="100">
        <f t="shared" si="47"/>
        <v>786.63319640140355</v>
      </c>
      <c r="I31" s="100">
        <f t="shared" si="47"/>
        <v>1.0833333333333333</v>
      </c>
      <c r="J31" s="100">
        <f t="shared" si="47"/>
        <v>333.51528492332136</v>
      </c>
      <c r="K31" s="100">
        <f t="shared" ref="K31" si="48">SUM(K32:K43)</f>
        <v>1.0833333333333333</v>
      </c>
      <c r="L31" s="100">
        <f t="shared" ref="L31" si="49">SUM(L32:L43)</f>
        <v>333.51528492332136</v>
      </c>
      <c r="M31" s="100">
        <f t="shared" ref="M31:O31" si="50">SUM(M32:M43)</f>
        <v>2.333333333333333</v>
      </c>
      <c r="N31" s="100">
        <f t="shared" ref="N31:P31" si="51">SUM(N32:N43)</f>
        <v>786.63319640140355</v>
      </c>
      <c r="O31" s="100">
        <f t="shared" si="50"/>
        <v>1.0833333333333333</v>
      </c>
      <c r="P31" s="100">
        <f t="shared" si="51"/>
        <v>333.51528492332136</v>
      </c>
      <c r="Q31" s="97"/>
      <c r="R31" s="96"/>
      <c r="S31" s="36"/>
    </row>
    <row r="32" spans="1:19" ht="15.75" x14ac:dyDescent="0.25">
      <c r="A32" s="54"/>
      <c r="B32" s="109" t="s">
        <v>29</v>
      </c>
      <c r="C32" s="59">
        <v>1.5</v>
      </c>
      <c r="D32" s="113">
        <f>ЗП!D18/1000</f>
        <v>461.25566468025721</v>
      </c>
      <c r="E32" s="56">
        <f>C32/6</f>
        <v>0.25</v>
      </c>
      <c r="F32" s="56">
        <f>D32/6</f>
        <v>76.875944113376207</v>
      </c>
      <c r="G32" s="56">
        <f>C32/6</f>
        <v>0.25</v>
      </c>
      <c r="H32" s="56">
        <f>D32/6</f>
        <v>76.875944113376207</v>
      </c>
      <c r="I32" s="56">
        <f>C32/$Q$9</f>
        <v>0.25</v>
      </c>
      <c r="J32" s="56">
        <f>D32/$Q$9</f>
        <v>76.875944113376207</v>
      </c>
      <c r="K32" s="56">
        <f>C32/$Q$9</f>
        <v>0.25</v>
      </c>
      <c r="L32" s="56">
        <f>D32/$Q$9</f>
        <v>76.875944113376207</v>
      </c>
      <c r="M32" s="56">
        <f>C32/$Q$9</f>
        <v>0.25</v>
      </c>
      <c r="N32" s="56">
        <f>D32/$Q$9</f>
        <v>76.875944113376207</v>
      </c>
      <c r="O32" s="56">
        <f>C32/6</f>
        <v>0.25</v>
      </c>
      <c r="P32" s="56">
        <f>D32/6</f>
        <v>76.875944113376207</v>
      </c>
      <c r="Q32" s="97">
        <f t="shared" si="22"/>
        <v>-76.875944113376192</v>
      </c>
      <c r="R32" s="96">
        <f t="shared" si="45"/>
        <v>384.37972056688102</v>
      </c>
      <c r="S32" s="36">
        <f t="shared" si="46"/>
        <v>461.25566468025721</v>
      </c>
    </row>
    <row r="33" spans="1:19" ht="30" x14ac:dyDescent="0.25">
      <c r="A33" s="54"/>
      <c r="B33" s="109" t="s">
        <v>30</v>
      </c>
      <c r="C33" s="55">
        <v>1</v>
      </c>
      <c r="D33" s="113">
        <f>ЗП!D19/1000</f>
        <v>226.63164560226298</v>
      </c>
      <c r="E33" s="56">
        <f t="shared" ref="E33" si="52">C33/6</f>
        <v>0.16666666666666666</v>
      </c>
      <c r="F33" s="56">
        <f t="shared" ref="F33" si="53">D33/6</f>
        <v>37.771940933710496</v>
      </c>
      <c r="G33" s="56">
        <f>C33/6</f>
        <v>0.16666666666666666</v>
      </c>
      <c r="H33" s="56">
        <f>D33/6</f>
        <v>37.771940933710496</v>
      </c>
      <c r="I33" s="56">
        <f t="shared" ref="I33:I42" si="54">C33/$Q$9</f>
        <v>0.16666666666666666</v>
      </c>
      <c r="J33" s="56">
        <f t="shared" ref="J33:J42" si="55">D33/$Q$9</f>
        <v>37.771940933710496</v>
      </c>
      <c r="K33" s="56">
        <f t="shared" ref="K33:K42" si="56">C33/$Q$9</f>
        <v>0.16666666666666666</v>
      </c>
      <c r="L33" s="56">
        <f t="shared" ref="L33:L42" si="57">D33/$Q$9</f>
        <v>37.771940933710496</v>
      </c>
      <c r="M33" s="56">
        <f t="shared" ref="M33:M42" si="58">C33/$Q$9</f>
        <v>0.16666666666666666</v>
      </c>
      <c r="N33" s="56">
        <f t="shared" ref="N33:N42" si="59">D33/$Q$9</f>
        <v>37.771940933710496</v>
      </c>
      <c r="O33" s="56">
        <f>C33/6</f>
        <v>0.16666666666666666</v>
      </c>
      <c r="P33" s="56">
        <f>D33/6</f>
        <v>37.771940933710496</v>
      </c>
      <c r="Q33" s="97">
        <f t="shared" si="22"/>
        <v>-37.771940933710511</v>
      </c>
      <c r="R33" s="96">
        <f t="shared" si="45"/>
        <v>188.85970466855247</v>
      </c>
      <c r="S33" s="36">
        <f t="shared" si="46"/>
        <v>226.63164560226298</v>
      </c>
    </row>
    <row r="34" spans="1:19" ht="15.75" x14ac:dyDescent="0.25">
      <c r="A34" s="54"/>
      <c r="B34" s="109" t="s">
        <v>31</v>
      </c>
      <c r="C34" s="55">
        <v>2</v>
      </c>
      <c r="D34" s="113">
        <f>ЗП!D20/1000</f>
        <v>725.76222077240857</v>
      </c>
      <c r="E34" s="56">
        <v>0</v>
      </c>
      <c r="F34" s="56">
        <v>0</v>
      </c>
      <c r="G34" s="176">
        <f>C34/2</f>
        <v>1</v>
      </c>
      <c r="H34" s="56">
        <f>D34/2</f>
        <v>362.88111038620428</v>
      </c>
      <c r="I34" s="56">
        <v>0</v>
      </c>
      <c r="J34" s="56">
        <v>0</v>
      </c>
      <c r="K34" s="56">
        <v>0</v>
      </c>
      <c r="L34" s="56">
        <v>0</v>
      </c>
      <c r="M34" s="176">
        <f t="shared" ref="M34:P35" si="60">C34/2</f>
        <v>1</v>
      </c>
      <c r="N34" s="56">
        <f t="shared" si="60"/>
        <v>362.88111038620428</v>
      </c>
      <c r="O34" s="56">
        <f t="shared" si="60"/>
        <v>0</v>
      </c>
      <c r="P34" s="56">
        <f t="shared" si="60"/>
        <v>0</v>
      </c>
      <c r="Q34" s="97">
        <f t="shared" si="22"/>
        <v>0</v>
      </c>
      <c r="R34" s="96">
        <f t="shared" si="45"/>
        <v>725.76222077240857</v>
      </c>
      <c r="S34" s="36">
        <f t="shared" si="46"/>
        <v>725.76222077240857</v>
      </c>
    </row>
    <row r="35" spans="1:19" ht="15.75" x14ac:dyDescent="0.25">
      <c r="A35" s="54"/>
      <c r="B35" s="109" t="s">
        <v>32</v>
      </c>
      <c r="C35" s="55">
        <v>0.5</v>
      </c>
      <c r="D35" s="113">
        <f>ЗП!D21/1000</f>
        <v>180.47360218375576</v>
      </c>
      <c r="E35" s="56">
        <v>0</v>
      </c>
      <c r="F35" s="56">
        <v>0</v>
      </c>
      <c r="G35" s="176">
        <f>C35/2</f>
        <v>0.25</v>
      </c>
      <c r="H35" s="56">
        <f>D35/2</f>
        <v>90.236801091877879</v>
      </c>
      <c r="I35" s="56">
        <v>0</v>
      </c>
      <c r="J35" s="56">
        <v>0</v>
      </c>
      <c r="K35" s="56">
        <v>0</v>
      </c>
      <c r="L35" s="56">
        <v>0</v>
      </c>
      <c r="M35" s="176">
        <f t="shared" si="60"/>
        <v>0.25</v>
      </c>
      <c r="N35" s="56">
        <f t="shared" si="60"/>
        <v>90.236801091877879</v>
      </c>
      <c r="O35" s="56">
        <f t="shared" si="60"/>
        <v>0</v>
      </c>
      <c r="P35" s="56">
        <f t="shared" si="60"/>
        <v>0</v>
      </c>
      <c r="Q35" s="97">
        <f t="shared" si="22"/>
        <v>0</v>
      </c>
      <c r="R35" s="96">
        <f t="shared" si="45"/>
        <v>180.47360218375576</v>
      </c>
      <c r="S35" s="36">
        <f t="shared" si="46"/>
        <v>180.47360218375576</v>
      </c>
    </row>
    <row r="36" spans="1:19" ht="30" x14ac:dyDescent="0.25">
      <c r="A36" s="54"/>
      <c r="B36" s="109" t="s">
        <v>33</v>
      </c>
      <c r="C36" s="55">
        <v>4</v>
      </c>
      <c r="D36" s="113">
        <f>ЗП!D22/1000</f>
        <v>1451.5244415448171</v>
      </c>
      <c r="E36" s="176">
        <v>4</v>
      </c>
      <c r="F36" s="56">
        <f>D36/1</f>
        <v>1451.5244415448171</v>
      </c>
      <c r="G36" s="56">
        <v>0</v>
      </c>
      <c r="H36" s="56">
        <v>0</v>
      </c>
      <c r="I36" s="56">
        <v>0</v>
      </c>
      <c r="J36" s="56">
        <v>0</v>
      </c>
      <c r="K36" s="56">
        <v>0</v>
      </c>
      <c r="L36" s="56">
        <v>0</v>
      </c>
      <c r="M36" s="56">
        <v>0</v>
      </c>
      <c r="N36" s="56">
        <v>0</v>
      </c>
      <c r="O36" s="56">
        <v>0</v>
      </c>
      <c r="P36" s="56">
        <v>0</v>
      </c>
      <c r="Q36" s="97">
        <f t="shared" si="22"/>
        <v>0</v>
      </c>
      <c r="R36" s="96">
        <f t="shared" si="45"/>
        <v>1451.5244415448171</v>
      </c>
      <c r="S36" s="36">
        <f t="shared" si="46"/>
        <v>1451.5244415448171</v>
      </c>
    </row>
    <row r="37" spans="1:19" ht="15.75" x14ac:dyDescent="0.25">
      <c r="A37" s="54"/>
      <c r="B37" s="109" t="s">
        <v>34</v>
      </c>
      <c r="C37" s="55">
        <v>1</v>
      </c>
      <c r="D37" s="113">
        <f>ЗП!D23/1000</f>
        <v>362.88120056864227</v>
      </c>
      <c r="E37" s="56">
        <f>C37/6</f>
        <v>0.16666666666666666</v>
      </c>
      <c r="F37" s="56">
        <f>D37/6</f>
        <v>60.480200094773714</v>
      </c>
      <c r="G37" s="56">
        <f>C37/6</f>
        <v>0.16666666666666666</v>
      </c>
      <c r="H37" s="56">
        <f>D37/6</f>
        <v>60.480200094773714</v>
      </c>
      <c r="I37" s="56">
        <f t="shared" si="54"/>
        <v>0.16666666666666666</v>
      </c>
      <c r="J37" s="56">
        <f t="shared" si="55"/>
        <v>60.480200094773714</v>
      </c>
      <c r="K37" s="56">
        <f t="shared" si="56"/>
        <v>0.16666666666666666</v>
      </c>
      <c r="L37" s="56">
        <f t="shared" si="57"/>
        <v>60.480200094773714</v>
      </c>
      <c r="M37" s="56">
        <f t="shared" si="58"/>
        <v>0.16666666666666666</v>
      </c>
      <c r="N37" s="56">
        <f t="shared" si="59"/>
        <v>60.480200094773714</v>
      </c>
      <c r="O37" s="56">
        <f t="shared" ref="O37:O39" si="61">C37/6</f>
        <v>0.16666666666666666</v>
      </c>
      <c r="P37" s="56">
        <f>D37/6</f>
        <v>60.480200094773714</v>
      </c>
      <c r="Q37" s="97">
        <f t="shared" si="22"/>
        <v>-60.480200094773693</v>
      </c>
      <c r="R37" s="96">
        <f t="shared" si="45"/>
        <v>302.40100047386858</v>
      </c>
      <c r="S37" s="36">
        <f t="shared" si="46"/>
        <v>362.88120056864227</v>
      </c>
    </row>
    <row r="38" spans="1:19" ht="33.75" customHeight="1" x14ac:dyDescent="0.25">
      <c r="A38" s="54"/>
      <c r="B38" s="109" t="s">
        <v>35</v>
      </c>
      <c r="C38" s="55">
        <v>1</v>
      </c>
      <c r="D38" s="113">
        <f>ЗП!D24/1000</f>
        <v>362.8810991133995</v>
      </c>
      <c r="E38" s="56">
        <f t="shared" ref="E38:E39" si="62">C38/6</f>
        <v>0.16666666666666666</v>
      </c>
      <c r="F38" s="56">
        <f t="shared" ref="F38:F39" si="63">D38/6</f>
        <v>60.480183185566581</v>
      </c>
      <c r="G38" s="56">
        <f t="shared" ref="G38:G39" si="64">C38/6</f>
        <v>0.16666666666666666</v>
      </c>
      <c r="H38" s="56">
        <f t="shared" ref="H38:H39" si="65">D38/6</f>
        <v>60.480183185566581</v>
      </c>
      <c r="I38" s="56">
        <f t="shared" si="54"/>
        <v>0.16666666666666666</v>
      </c>
      <c r="J38" s="56">
        <f t="shared" si="55"/>
        <v>60.480183185566581</v>
      </c>
      <c r="K38" s="56">
        <f t="shared" si="56"/>
        <v>0.16666666666666666</v>
      </c>
      <c r="L38" s="56">
        <f t="shared" si="57"/>
        <v>60.480183185566581</v>
      </c>
      <c r="M38" s="56">
        <f t="shared" si="58"/>
        <v>0.16666666666666666</v>
      </c>
      <c r="N38" s="56">
        <f t="shared" si="59"/>
        <v>60.480183185566581</v>
      </c>
      <c r="O38" s="56">
        <f t="shared" si="61"/>
        <v>0.16666666666666666</v>
      </c>
      <c r="P38" s="56">
        <f>D38/6</f>
        <v>60.480183185566581</v>
      </c>
      <c r="Q38" s="97">
        <f t="shared" si="22"/>
        <v>-60.480183185566602</v>
      </c>
      <c r="R38" s="96">
        <f t="shared" si="45"/>
        <v>302.4009159278329</v>
      </c>
      <c r="S38" s="36">
        <f t="shared" si="46"/>
        <v>362.8810991133995</v>
      </c>
    </row>
    <row r="39" spans="1:19" ht="15.75" x14ac:dyDescent="0.25">
      <c r="A39" s="54"/>
      <c r="B39" s="109" t="s">
        <v>36</v>
      </c>
      <c r="C39" s="55">
        <v>1</v>
      </c>
      <c r="D39" s="113">
        <f>ЗП!D25/1000</f>
        <v>224.56098918916169</v>
      </c>
      <c r="E39" s="56">
        <f t="shared" si="62"/>
        <v>0.16666666666666666</v>
      </c>
      <c r="F39" s="56">
        <f t="shared" si="63"/>
        <v>37.42683153152695</v>
      </c>
      <c r="G39" s="56">
        <f t="shared" si="64"/>
        <v>0.16666666666666666</v>
      </c>
      <c r="H39" s="56">
        <f t="shared" si="65"/>
        <v>37.42683153152695</v>
      </c>
      <c r="I39" s="56">
        <f t="shared" si="54"/>
        <v>0.16666666666666666</v>
      </c>
      <c r="J39" s="56">
        <f t="shared" si="55"/>
        <v>37.42683153152695</v>
      </c>
      <c r="K39" s="56">
        <f t="shared" si="56"/>
        <v>0.16666666666666666</v>
      </c>
      <c r="L39" s="56">
        <f t="shared" si="57"/>
        <v>37.42683153152695</v>
      </c>
      <c r="M39" s="56">
        <f t="shared" si="58"/>
        <v>0.16666666666666666</v>
      </c>
      <c r="N39" s="56">
        <f t="shared" si="59"/>
        <v>37.42683153152695</v>
      </c>
      <c r="O39" s="56">
        <f t="shared" si="61"/>
        <v>0.16666666666666666</v>
      </c>
      <c r="P39" s="56">
        <f>D39/6</f>
        <v>37.42683153152695</v>
      </c>
      <c r="Q39" s="97">
        <f t="shared" si="22"/>
        <v>-37.426831531526943</v>
      </c>
      <c r="R39" s="96">
        <f t="shared" si="45"/>
        <v>187.13415765763474</v>
      </c>
      <c r="S39" s="36">
        <f t="shared" si="46"/>
        <v>224.56098918916169</v>
      </c>
    </row>
    <row r="40" spans="1:19" ht="15.75" x14ac:dyDescent="0.25">
      <c r="A40" s="58"/>
      <c r="B40" s="109" t="s">
        <v>37</v>
      </c>
      <c r="C40" s="55">
        <v>3</v>
      </c>
      <c r="D40" s="113">
        <f>ЗП!D26/1000</f>
        <v>1088.6436017059268</v>
      </c>
      <c r="E40" s="176">
        <f>C40/1</f>
        <v>3</v>
      </c>
      <c r="F40" s="56">
        <f>D40/1</f>
        <v>1088.6436017059268</v>
      </c>
      <c r="G40" s="56">
        <v>0</v>
      </c>
      <c r="H40" s="56">
        <v>0</v>
      </c>
      <c r="I40" s="56">
        <v>0</v>
      </c>
      <c r="J40" s="56">
        <v>0</v>
      </c>
      <c r="K40" s="56">
        <v>0</v>
      </c>
      <c r="L40" s="56">
        <v>0</v>
      </c>
      <c r="M40" s="56">
        <v>0</v>
      </c>
      <c r="N40" s="56">
        <v>0</v>
      </c>
      <c r="O40" s="56">
        <v>0</v>
      </c>
      <c r="P40" s="56">
        <v>0</v>
      </c>
      <c r="Q40" s="97">
        <f t="shared" si="22"/>
        <v>0</v>
      </c>
      <c r="R40" s="96">
        <f t="shared" si="45"/>
        <v>1088.6436017059268</v>
      </c>
      <c r="S40" s="36">
        <f t="shared" si="46"/>
        <v>1088.6436017059268</v>
      </c>
    </row>
    <row r="41" spans="1:19" ht="15.75" x14ac:dyDescent="0.25">
      <c r="A41" s="58"/>
      <c r="B41" s="109" t="s">
        <v>38</v>
      </c>
      <c r="C41" s="55">
        <v>2</v>
      </c>
      <c r="D41" s="113">
        <f>ЗП!D27/1000</f>
        <v>725.76222077240857</v>
      </c>
      <c r="E41" s="176">
        <f>C41/1</f>
        <v>2</v>
      </c>
      <c r="F41" s="56">
        <f>D41/1</f>
        <v>725.76222077240857</v>
      </c>
      <c r="G41" s="56">
        <v>0</v>
      </c>
      <c r="H41" s="56">
        <v>0</v>
      </c>
      <c r="I41" s="56">
        <v>0</v>
      </c>
      <c r="J41" s="56">
        <v>0</v>
      </c>
      <c r="K41" s="56">
        <v>0</v>
      </c>
      <c r="L41" s="56">
        <v>0</v>
      </c>
      <c r="M41" s="56">
        <v>0</v>
      </c>
      <c r="N41" s="56">
        <v>0</v>
      </c>
      <c r="O41" s="56">
        <v>0</v>
      </c>
      <c r="P41" s="56">
        <v>0</v>
      </c>
      <c r="Q41" s="97">
        <f t="shared" si="22"/>
        <v>0</v>
      </c>
      <c r="R41" s="96">
        <f t="shared" si="45"/>
        <v>725.76222077240857</v>
      </c>
      <c r="S41" s="36">
        <f t="shared" si="46"/>
        <v>725.76222077240857</v>
      </c>
    </row>
    <row r="42" spans="1:19" ht="15.75" x14ac:dyDescent="0.25">
      <c r="A42" s="58"/>
      <c r="B42" s="109" t="s">
        <v>39</v>
      </c>
      <c r="C42" s="55">
        <v>1</v>
      </c>
      <c r="D42" s="113">
        <f>ЗП!D28/1000</f>
        <v>362.88111038620428</v>
      </c>
      <c r="E42" s="56">
        <f>C42/6</f>
        <v>0.16666666666666666</v>
      </c>
      <c r="F42" s="56">
        <f>D42/6</f>
        <v>60.480185064367383</v>
      </c>
      <c r="G42" s="56">
        <f>C42/6</f>
        <v>0.16666666666666666</v>
      </c>
      <c r="H42" s="56">
        <f>D42/6</f>
        <v>60.480185064367383</v>
      </c>
      <c r="I42" s="56">
        <f t="shared" si="54"/>
        <v>0.16666666666666666</v>
      </c>
      <c r="J42" s="56">
        <f t="shared" si="55"/>
        <v>60.480185064367383</v>
      </c>
      <c r="K42" s="56">
        <f t="shared" si="56"/>
        <v>0.16666666666666666</v>
      </c>
      <c r="L42" s="56">
        <f t="shared" si="57"/>
        <v>60.480185064367383</v>
      </c>
      <c r="M42" s="56">
        <f t="shared" si="58"/>
        <v>0.16666666666666666</v>
      </c>
      <c r="N42" s="56">
        <f t="shared" si="59"/>
        <v>60.480185064367383</v>
      </c>
      <c r="O42" s="56">
        <f>C42/6</f>
        <v>0.16666666666666666</v>
      </c>
      <c r="P42" s="56">
        <f>D42/6</f>
        <v>60.480185064367383</v>
      </c>
      <c r="Q42" s="97">
        <f t="shared" si="22"/>
        <v>-60.48018506436739</v>
      </c>
      <c r="R42" s="96">
        <f t="shared" si="45"/>
        <v>302.40092532183689</v>
      </c>
      <c r="S42" s="36">
        <f t="shared" si="46"/>
        <v>362.88111038620428</v>
      </c>
    </row>
    <row r="43" spans="1:19" ht="15.75" x14ac:dyDescent="0.25">
      <c r="A43" s="58"/>
      <c r="B43" s="109" t="s">
        <v>40</v>
      </c>
      <c r="C43" s="122">
        <v>7</v>
      </c>
      <c r="D43" s="113">
        <f>ЗП!D29/1000</f>
        <v>2905.8453052180771</v>
      </c>
      <c r="E43" s="176">
        <f>C43/1</f>
        <v>7</v>
      </c>
      <c r="F43" s="56">
        <f>D43/1</f>
        <v>2905.8453052180771</v>
      </c>
      <c r="G43" s="56">
        <v>0</v>
      </c>
      <c r="H43" s="56">
        <v>0</v>
      </c>
      <c r="I43" s="56">
        <v>0</v>
      </c>
      <c r="J43" s="56">
        <v>0</v>
      </c>
      <c r="K43" s="56">
        <v>0</v>
      </c>
      <c r="L43" s="56">
        <v>0</v>
      </c>
      <c r="M43" s="56">
        <v>0</v>
      </c>
      <c r="N43" s="56">
        <v>0</v>
      </c>
      <c r="O43" s="56">
        <v>0</v>
      </c>
      <c r="P43" s="56">
        <v>0</v>
      </c>
      <c r="Q43" s="97">
        <f t="shared" si="22"/>
        <v>0</v>
      </c>
      <c r="R43" s="96">
        <f t="shared" si="45"/>
        <v>2905.8453052180771</v>
      </c>
      <c r="S43" s="36">
        <f t="shared" si="46"/>
        <v>2905.8453052180771</v>
      </c>
    </row>
    <row r="44" spans="1:19" ht="51.75" customHeight="1" x14ac:dyDescent="0.25">
      <c r="A44" s="58"/>
      <c r="B44" s="105" t="s">
        <v>72</v>
      </c>
      <c r="C44" s="114" t="s">
        <v>66</v>
      </c>
      <c r="D44" s="100">
        <f>D25+D31</f>
        <v>11102.389430726333</v>
      </c>
      <c r="E44" s="100" t="s">
        <v>66</v>
      </c>
      <c r="F44" s="100">
        <f>F25+F31</f>
        <v>6842.5052423293855</v>
      </c>
      <c r="G44" s="100" t="s">
        <v>66</v>
      </c>
      <c r="H44" s="100">
        <f>H25+H31</f>
        <v>1123.8475845662388</v>
      </c>
      <c r="I44" s="100" t="s">
        <v>66</v>
      </c>
      <c r="J44" s="100">
        <f>J25+J31</f>
        <v>670.72967308815657</v>
      </c>
      <c r="K44" s="100" t="s">
        <v>66</v>
      </c>
      <c r="L44" s="100">
        <f>L25+L31</f>
        <v>670.72967308815657</v>
      </c>
      <c r="M44" s="100" t="s">
        <v>66</v>
      </c>
      <c r="N44" s="100">
        <f>N25+N31</f>
        <v>1123.8475845662388</v>
      </c>
      <c r="O44" s="100" t="s">
        <v>66</v>
      </c>
      <c r="P44" s="100">
        <f>P25+P31</f>
        <v>670.72967308815657</v>
      </c>
    </row>
    <row r="45" spans="1:19" s="180" customFormat="1" ht="66" customHeight="1" x14ac:dyDescent="0.25">
      <c r="A45" s="174"/>
      <c r="B45" s="175" t="s">
        <v>73</v>
      </c>
      <c r="C45" s="181" t="s">
        <v>66</v>
      </c>
      <c r="D45" s="173">
        <f>D44*30.015%</f>
        <v>3332.3821876325092</v>
      </c>
      <c r="E45" s="173" t="s">
        <v>66</v>
      </c>
      <c r="F45" s="173">
        <f>F44*30.051%</f>
        <v>2056.2412503724036</v>
      </c>
      <c r="G45" s="173" t="s">
        <v>66</v>
      </c>
      <c r="H45" s="173">
        <f>H44*30.05%</f>
        <v>337.71619916215474</v>
      </c>
      <c r="I45" s="173" t="s">
        <v>66</v>
      </c>
      <c r="J45" s="173">
        <f>J44*30.05%</f>
        <v>201.55426676299103</v>
      </c>
      <c r="K45" s="173" t="s">
        <v>66</v>
      </c>
      <c r="L45" s="173">
        <f>L44*30.05%</f>
        <v>201.55426676299103</v>
      </c>
      <c r="M45" s="173" t="s">
        <v>66</v>
      </c>
      <c r="N45" s="173">
        <f>N44*30.05%</f>
        <v>337.71619916215474</v>
      </c>
      <c r="O45" s="173" t="s">
        <v>66</v>
      </c>
      <c r="P45" s="173">
        <f>P44*30.05%</f>
        <v>201.55426676299103</v>
      </c>
    </row>
    <row r="46" spans="1:19" ht="32.25" customHeight="1" x14ac:dyDescent="0.25">
      <c r="A46" s="95"/>
      <c r="B46" s="115" t="s">
        <v>67</v>
      </c>
      <c r="C46" s="116" t="s">
        <v>66</v>
      </c>
      <c r="D46" s="117">
        <f>D44+D45</f>
        <v>14434.771618358842</v>
      </c>
      <c r="E46" s="117" t="s">
        <v>66</v>
      </c>
      <c r="F46" s="117">
        <f>F44+F45</f>
        <v>8898.74649270179</v>
      </c>
      <c r="G46" s="117" t="s">
        <v>66</v>
      </c>
      <c r="H46" s="117">
        <f>H44+H45</f>
        <v>1461.5637837283934</v>
      </c>
      <c r="I46" s="117" t="s">
        <v>66</v>
      </c>
      <c r="J46" s="117">
        <f>J44+J45</f>
        <v>872.28393985114758</v>
      </c>
      <c r="K46" s="117" t="s">
        <v>66</v>
      </c>
      <c r="L46" s="117">
        <f>L44+L45</f>
        <v>872.28393985114758</v>
      </c>
      <c r="M46" s="100" t="s">
        <v>66</v>
      </c>
      <c r="N46" s="100">
        <f>N44+N45</f>
        <v>1461.5637837283934</v>
      </c>
      <c r="O46" s="100" t="s">
        <v>66</v>
      </c>
      <c r="P46" s="100">
        <f>P44+P45</f>
        <v>872.28393985114758</v>
      </c>
    </row>
    <row r="47" spans="1:19" ht="24" customHeight="1" thickBot="1" x14ac:dyDescent="0.3">
      <c r="A47" s="60"/>
      <c r="B47" s="118" t="s">
        <v>166</v>
      </c>
      <c r="C47" s="120">
        <f>C11+C24</f>
        <v>37.5</v>
      </c>
      <c r="D47" s="119">
        <f>D44+D11</f>
        <v>15027.062599999997</v>
      </c>
      <c r="E47" s="119">
        <f>E11+E24</f>
        <v>19.583333333333336</v>
      </c>
      <c r="F47" s="119">
        <f>F44+F11</f>
        <v>7647.8178669902345</v>
      </c>
      <c r="G47" s="119">
        <f>G11+G24</f>
        <v>4.3333333333333321</v>
      </c>
      <c r="H47" s="119">
        <f>H44+H11</f>
        <v>1747.7196934888022</v>
      </c>
      <c r="I47" s="119">
        <f>I11+I24</f>
        <v>3.083333333333333</v>
      </c>
      <c r="J47" s="119">
        <f>J44+J11</f>
        <v>1294.6017820107199</v>
      </c>
      <c r="K47" s="119">
        <f>K11+K24</f>
        <v>3.083333333333333</v>
      </c>
      <c r="L47" s="119">
        <f>L44+L11</f>
        <v>1294.6017820107199</v>
      </c>
      <c r="M47" s="119">
        <f>M11+M24</f>
        <v>4.3333333333333321</v>
      </c>
      <c r="N47" s="119">
        <f>N44+N11</f>
        <v>1747.7196934888022</v>
      </c>
      <c r="O47" s="119">
        <f>O11+O24</f>
        <v>3.083333333333333</v>
      </c>
      <c r="P47" s="119">
        <f>P44+P11</f>
        <v>1294.6017820107199</v>
      </c>
    </row>
    <row r="48" spans="1:19" ht="15.75" x14ac:dyDescent="0.25">
      <c r="A48" s="61"/>
      <c r="B48" s="61"/>
      <c r="C48" s="61"/>
      <c r="D48" s="124">
        <f>D22+D45</f>
        <v>4511.7464749992459</v>
      </c>
      <c r="E48" s="62"/>
      <c r="F48" s="124">
        <f>F22+F45</f>
        <v>2298.2376940829886</v>
      </c>
      <c r="G48" s="62"/>
      <c r="H48" s="124">
        <f>H22+H45</f>
        <v>525.18976789338512</v>
      </c>
      <c r="J48" s="124">
        <f>J22+J45</f>
        <v>389.02783549422134</v>
      </c>
      <c r="L48" s="124">
        <f>L22+L45</f>
        <v>389.02783549422134</v>
      </c>
      <c r="N48" s="124">
        <f>N22+N45</f>
        <v>525.18976789338512</v>
      </c>
      <c r="P48" s="124">
        <f>P22+P45</f>
        <v>389.02783549422134</v>
      </c>
    </row>
    <row r="49" spans="1:16" ht="15.75" x14ac:dyDescent="0.25">
      <c r="A49" s="61"/>
      <c r="B49" s="61"/>
      <c r="C49" s="61"/>
      <c r="D49" s="124">
        <f>D47+D48</f>
        <v>19538.809074999244</v>
      </c>
      <c r="E49" s="62"/>
      <c r="F49" s="124">
        <f>F47+F48</f>
        <v>9946.0555610732226</v>
      </c>
      <c r="G49" s="62"/>
      <c r="H49" s="124">
        <f>H47+H48</f>
        <v>2272.9094613821871</v>
      </c>
      <c r="J49" s="124">
        <f>J47+J48</f>
        <v>1683.6296175049413</v>
      </c>
      <c r="L49" s="124">
        <f>L47+L48</f>
        <v>1683.6296175049413</v>
      </c>
      <c r="N49" s="124">
        <f>N47+N48</f>
        <v>2272.9094613821871</v>
      </c>
      <c r="P49" s="124">
        <f>P47+P48</f>
        <v>1683.6296175049413</v>
      </c>
    </row>
    <row r="50" spans="1:16" ht="15.75" x14ac:dyDescent="0.25">
      <c r="A50" s="61"/>
      <c r="B50" s="61"/>
      <c r="C50" s="61"/>
      <c r="D50" s="62"/>
      <c r="E50" s="62"/>
      <c r="F50" s="62"/>
      <c r="G50" s="62"/>
      <c r="H50" s="62"/>
    </row>
    <row r="51" spans="1:16" ht="15.75" x14ac:dyDescent="0.25">
      <c r="A51" s="61"/>
      <c r="B51" s="61"/>
      <c r="C51" s="61"/>
      <c r="D51" s="62"/>
      <c r="E51" s="62"/>
      <c r="F51" s="62"/>
      <c r="G51" s="62"/>
      <c r="H51" s="62"/>
    </row>
    <row r="52" spans="1:16" ht="15.75" x14ac:dyDescent="0.25">
      <c r="A52" s="61"/>
      <c r="B52" s="61"/>
      <c r="C52" s="61"/>
      <c r="D52" s="62"/>
      <c r="E52" s="62">
        <f>F47+H47+J47+L47+N47+P47</f>
        <v>15027.062599999997</v>
      </c>
      <c r="F52" s="62"/>
      <c r="G52" s="62"/>
      <c r="H52" s="62"/>
    </row>
    <row r="53" spans="1:16" ht="15.75" x14ac:dyDescent="0.25">
      <c r="A53" s="61"/>
      <c r="B53" s="61"/>
      <c r="C53" s="61"/>
      <c r="D53" s="62">
        <f>D22+D45</f>
        <v>4511.7464749992459</v>
      </c>
      <c r="E53" s="62">
        <f>F53+H53+J53+L53+N53+P53</f>
        <v>4515.7007363524217</v>
      </c>
      <c r="F53" s="62">
        <f t="shared" ref="F53:N53" si="66">F22+F45</f>
        <v>2298.2376940829886</v>
      </c>
      <c r="G53" s="62" t="e">
        <f>G22+G45</f>
        <v>#VALUE!</v>
      </c>
      <c r="H53" s="62">
        <f t="shared" si="66"/>
        <v>525.18976789338512</v>
      </c>
      <c r="I53" s="62" t="e">
        <f t="shared" si="66"/>
        <v>#VALUE!</v>
      </c>
      <c r="J53" s="62">
        <f t="shared" si="66"/>
        <v>389.02783549422134</v>
      </c>
      <c r="K53" s="62" t="e">
        <f t="shared" si="66"/>
        <v>#VALUE!</v>
      </c>
      <c r="L53" s="62">
        <f t="shared" si="66"/>
        <v>389.02783549422134</v>
      </c>
      <c r="M53" s="62" t="e">
        <f t="shared" si="66"/>
        <v>#VALUE!</v>
      </c>
      <c r="N53" s="62">
        <f t="shared" si="66"/>
        <v>525.18976789338512</v>
      </c>
      <c r="O53" s="62" t="e">
        <f t="shared" ref="O53:P53" si="67">O22+O45</f>
        <v>#VALUE!</v>
      </c>
      <c r="P53" s="62">
        <f t="shared" si="67"/>
        <v>389.02783549422134</v>
      </c>
    </row>
    <row r="54" spans="1:16" x14ac:dyDescent="0.25">
      <c r="D54" s="57">
        <v>3590.8</v>
      </c>
      <c r="E54" s="57">
        <v>3590.8</v>
      </c>
    </row>
    <row r="55" spans="1:16" x14ac:dyDescent="0.25">
      <c r="D55" s="57">
        <f>D54-D53</f>
        <v>-920.94647499924577</v>
      </c>
      <c r="E55" s="57">
        <f>E53-E54</f>
        <v>924.90073635242152</v>
      </c>
    </row>
  </sheetData>
  <mergeCells count="16">
    <mergeCell ref="O8:P8"/>
    <mergeCell ref="E7:P7"/>
    <mergeCell ref="L2:N2"/>
    <mergeCell ref="L3:N3"/>
    <mergeCell ref="K4:N4"/>
    <mergeCell ref="A5:N5"/>
    <mergeCell ref="A7:A9"/>
    <mergeCell ref="B7:B9"/>
    <mergeCell ref="C7:C9"/>
    <mergeCell ref="D7:D9"/>
    <mergeCell ref="A6:N6"/>
    <mergeCell ref="E8:F8"/>
    <mergeCell ref="G8:H8"/>
    <mergeCell ref="I8:J8"/>
    <mergeCell ref="K8:L8"/>
    <mergeCell ref="M8:N8"/>
  </mergeCells>
  <pageMargins left="0" right="0" top="0.35433070866141736" bottom="0" header="0" footer="0"/>
  <pageSetup paperSize="9" scale="65" orientation="landscape" r:id="rId1"/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88"/>
  <sheetViews>
    <sheetView topLeftCell="A63" workbookViewId="0">
      <selection activeCell="C45" sqref="C45"/>
    </sheetView>
  </sheetViews>
  <sheetFormatPr defaultRowHeight="15" x14ac:dyDescent="0.25"/>
  <cols>
    <col min="1" max="1" width="43.42578125" customWidth="1"/>
    <col min="2" max="2" width="12.42578125" customWidth="1"/>
    <col min="3" max="3" width="16.85546875" style="42" customWidth="1"/>
    <col min="4" max="4" width="18.5703125" customWidth="1"/>
    <col min="6" max="6" width="13.28515625" bestFit="1" customWidth="1"/>
    <col min="7" max="7" width="11.5703125" customWidth="1"/>
  </cols>
  <sheetData>
    <row r="1" spans="1:8" s="49" customFormat="1" ht="11.25" customHeight="1" x14ac:dyDescent="0.2">
      <c r="C1" s="66"/>
      <c r="D1" s="50" t="s">
        <v>74</v>
      </c>
    </row>
    <row r="2" spans="1:8" s="49" customFormat="1" ht="11.25" customHeight="1" x14ac:dyDescent="0.2">
      <c r="A2" s="50"/>
      <c r="B2" s="270" t="s">
        <v>52</v>
      </c>
      <c r="C2" s="270"/>
      <c r="D2" s="270"/>
    </row>
    <row r="3" spans="1:8" s="49" customFormat="1" ht="11.25" customHeight="1" x14ac:dyDescent="0.2">
      <c r="A3" s="50"/>
      <c r="B3" s="270" t="s">
        <v>53</v>
      </c>
      <c r="C3" s="270"/>
      <c r="D3" s="270"/>
    </row>
    <row r="4" spans="1:8" s="49" customFormat="1" ht="11.25" customHeight="1" x14ac:dyDescent="0.2">
      <c r="A4" s="270" t="s">
        <v>54</v>
      </c>
      <c r="B4" s="270"/>
      <c r="C4" s="270"/>
      <c r="D4" s="270"/>
    </row>
    <row r="5" spans="1:8" ht="41.25" customHeight="1" x14ac:dyDescent="0.25">
      <c r="A5" s="271" t="s">
        <v>75</v>
      </c>
      <c r="B5" s="271"/>
      <c r="C5" s="271"/>
      <c r="D5" s="271"/>
      <c r="E5" s="67"/>
      <c r="F5" s="67"/>
      <c r="G5" s="67"/>
      <c r="H5" s="67"/>
    </row>
    <row r="6" spans="1:8" ht="15.75" thickBot="1" x14ac:dyDescent="0.3">
      <c r="A6" s="271" t="s">
        <v>188</v>
      </c>
      <c r="B6" s="271"/>
      <c r="C6" s="271"/>
      <c r="D6" s="271"/>
      <c r="E6" s="67"/>
      <c r="F6" s="67"/>
      <c r="G6" s="67"/>
      <c r="H6" s="67"/>
    </row>
    <row r="7" spans="1:8" s="72" customFormat="1" ht="63.75" thickTop="1" x14ac:dyDescent="0.2">
      <c r="A7" s="68" t="s">
        <v>76</v>
      </c>
      <c r="B7" s="69" t="s">
        <v>2</v>
      </c>
      <c r="C7" s="70" t="s">
        <v>77</v>
      </c>
      <c r="D7" s="71" t="s">
        <v>78</v>
      </c>
    </row>
    <row r="8" spans="1:8" s="72" customFormat="1" ht="11.25" x14ac:dyDescent="0.2">
      <c r="A8" s="73">
        <v>1</v>
      </c>
      <c r="B8" s="51">
        <v>2</v>
      </c>
      <c r="C8" s="74">
        <v>3</v>
      </c>
      <c r="D8" s="75">
        <v>4</v>
      </c>
    </row>
    <row r="9" spans="1:8" x14ac:dyDescent="0.25">
      <c r="A9" s="272" t="s">
        <v>79</v>
      </c>
      <c r="B9" s="273"/>
      <c r="C9" s="273"/>
      <c r="D9" s="274"/>
      <c r="E9" s="67"/>
      <c r="F9" s="67"/>
      <c r="G9" s="67"/>
      <c r="H9" s="67"/>
    </row>
    <row r="10" spans="1:8" x14ac:dyDescent="0.25">
      <c r="A10" s="272" t="s">
        <v>80</v>
      </c>
      <c r="B10" s="273"/>
      <c r="C10" s="273"/>
      <c r="D10" s="274"/>
      <c r="E10" s="67"/>
      <c r="F10" s="67"/>
      <c r="G10" s="67"/>
      <c r="H10" s="67"/>
    </row>
    <row r="11" spans="1:8" x14ac:dyDescent="0.25">
      <c r="A11" s="272" t="s">
        <v>81</v>
      </c>
      <c r="B11" s="273"/>
      <c r="C11" s="273"/>
      <c r="D11" s="274"/>
      <c r="E11" s="67"/>
      <c r="F11" s="67"/>
      <c r="G11" s="67"/>
      <c r="H11" s="67"/>
    </row>
    <row r="12" spans="1:8" x14ac:dyDescent="0.25">
      <c r="A12" s="162" t="s">
        <v>82</v>
      </c>
      <c r="B12" s="163">
        <v>211</v>
      </c>
      <c r="C12" s="160">
        <f>ГОРЛЕС!K5/1000</f>
        <v>11803.256654217676</v>
      </c>
      <c r="D12" s="164" t="s">
        <v>66</v>
      </c>
      <c r="E12" s="67"/>
      <c r="F12" s="77"/>
      <c r="G12" s="67"/>
      <c r="H12" s="67"/>
    </row>
    <row r="13" spans="1:8" x14ac:dyDescent="0.25">
      <c r="A13" s="162" t="s">
        <v>83</v>
      </c>
      <c r="B13" s="163">
        <v>213</v>
      </c>
      <c r="C13" s="160">
        <f>ГОРЛЕС!K7/1000</f>
        <v>3546.3487245924116</v>
      </c>
      <c r="D13" s="164" t="s">
        <v>66</v>
      </c>
      <c r="E13" s="67"/>
      <c r="F13" s="77"/>
      <c r="G13" s="67"/>
      <c r="H13" s="67"/>
    </row>
    <row r="14" spans="1:8" x14ac:dyDescent="0.25">
      <c r="A14" s="275" t="s">
        <v>84</v>
      </c>
      <c r="B14" s="276"/>
      <c r="C14" s="276"/>
      <c r="D14" s="277"/>
      <c r="E14" s="67"/>
      <c r="F14" s="67"/>
      <c r="G14" s="67"/>
      <c r="H14" s="67"/>
    </row>
    <row r="15" spans="1:8" x14ac:dyDescent="0.25">
      <c r="A15" s="162" t="s">
        <v>85</v>
      </c>
      <c r="B15" s="163">
        <v>340</v>
      </c>
      <c r="C15" s="160">
        <f>(ГОРЛЕС!K20+ГОРЛЕС!K21+ГОРЛЕС!K22)/1000</f>
        <v>959.19584999999995</v>
      </c>
      <c r="D15" s="164" t="s">
        <v>66</v>
      </c>
      <c r="E15" s="67"/>
      <c r="F15" s="67"/>
      <c r="G15" s="67"/>
      <c r="H15" s="67"/>
    </row>
    <row r="16" spans="1:8" x14ac:dyDescent="0.25">
      <c r="A16" s="275" t="s">
        <v>86</v>
      </c>
      <c r="B16" s="276"/>
      <c r="C16" s="276"/>
      <c r="D16" s="277"/>
      <c r="E16" s="67"/>
      <c r="F16" s="77">
        <f>C12+C13+C15+C18+C20</f>
        <v>16308.801228810087</v>
      </c>
      <c r="G16" s="67"/>
      <c r="H16" s="67"/>
    </row>
    <row r="17" spans="1:8" x14ac:dyDescent="0.25">
      <c r="A17" s="162" t="s">
        <v>87</v>
      </c>
      <c r="B17" s="163">
        <v>212</v>
      </c>
      <c r="C17" s="165">
        <v>0</v>
      </c>
      <c r="D17" s="164" t="s">
        <v>66</v>
      </c>
      <c r="E17" s="67"/>
      <c r="F17" s="67"/>
      <c r="G17" s="67"/>
      <c r="H17" s="67"/>
    </row>
    <row r="18" spans="1:8" x14ac:dyDescent="0.25">
      <c r="A18" s="162" t="s">
        <v>88</v>
      </c>
      <c r="B18" s="163">
        <v>222</v>
      </c>
      <c r="C18" s="165">
        <f>ГОРЛЕС!K9/1000</f>
        <v>0</v>
      </c>
      <c r="D18" s="164" t="s">
        <v>66</v>
      </c>
      <c r="E18" s="67"/>
      <c r="F18" s="77"/>
      <c r="G18" s="67"/>
      <c r="H18" s="67"/>
    </row>
    <row r="19" spans="1:8" x14ac:dyDescent="0.25">
      <c r="A19" s="162" t="s">
        <v>172</v>
      </c>
      <c r="B19" s="163">
        <v>225</v>
      </c>
      <c r="C19" s="165">
        <f>ГОРЛЕС!K14/1000</f>
        <v>0</v>
      </c>
      <c r="D19" s="164"/>
      <c r="E19" s="67"/>
      <c r="F19" s="77"/>
      <c r="G19" s="67"/>
      <c r="H19" s="67"/>
    </row>
    <row r="20" spans="1:8" x14ac:dyDescent="0.25">
      <c r="A20" s="162" t="s">
        <v>89</v>
      </c>
      <c r="B20" s="163">
        <v>226</v>
      </c>
      <c r="C20" s="160">
        <f>(ГОРЛЕС!K17+ГОРЛЕС!K19)/1000</f>
        <v>0</v>
      </c>
      <c r="D20" s="164"/>
      <c r="E20" s="67"/>
      <c r="F20" s="67"/>
      <c r="G20" s="67"/>
      <c r="H20" s="67"/>
    </row>
    <row r="21" spans="1:8" x14ac:dyDescent="0.25">
      <c r="A21" s="162" t="s">
        <v>90</v>
      </c>
      <c r="B21" s="163">
        <v>290</v>
      </c>
      <c r="C21" s="165">
        <v>0</v>
      </c>
      <c r="D21" s="164" t="s">
        <v>66</v>
      </c>
      <c r="E21" s="67"/>
      <c r="F21" s="67"/>
      <c r="G21" s="67"/>
      <c r="H21" s="67"/>
    </row>
    <row r="22" spans="1:8" x14ac:dyDescent="0.25">
      <c r="A22" s="267" t="s">
        <v>91</v>
      </c>
      <c r="B22" s="268"/>
      <c r="C22" s="268"/>
      <c r="D22" s="269"/>
      <c r="E22" s="67"/>
      <c r="F22" s="77"/>
      <c r="G22" s="67"/>
      <c r="H22" s="67"/>
    </row>
    <row r="23" spans="1:8" ht="27.75" customHeight="1" x14ac:dyDescent="0.25">
      <c r="A23" s="267" t="s">
        <v>92</v>
      </c>
      <c r="B23" s="268"/>
      <c r="C23" s="268"/>
      <c r="D23" s="269"/>
      <c r="E23" s="67"/>
      <c r="F23" s="67"/>
      <c r="G23" s="67"/>
      <c r="H23" s="67"/>
    </row>
    <row r="24" spans="1:8" x14ac:dyDescent="0.25">
      <c r="A24" s="162" t="s">
        <v>82</v>
      </c>
      <c r="B24" s="163">
        <v>211</v>
      </c>
      <c r="C24" s="160">
        <f>ГОРЛЕС!L5/1000</f>
        <v>3223.8059457823242</v>
      </c>
      <c r="D24" s="164" t="s">
        <v>66</v>
      </c>
      <c r="E24" s="67"/>
      <c r="F24" s="67"/>
      <c r="G24" s="67"/>
      <c r="H24" s="67"/>
    </row>
    <row r="25" spans="1:8" x14ac:dyDescent="0.25">
      <c r="A25" s="162" t="s">
        <v>83</v>
      </c>
      <c r="B25" s="163">
        <v>213</v>
      </c>
      <c r="C25" s="160">
        <f>ГОРЛЕС!L7/1000</f>
        <v>968.71993670758854</v>
      </c>
      <c r="D25" s="164" t="s">
        <v>66</v>
      </c>
      <c r="E25" s="67"/>
      <c r="F25" s="67"/>
      <c r="G25" s="67"/>
      <c r="H25" s="67"/>
    </row>
    <row r="26" spans="1:8" x14ac:dyDescent="0.25">
      <c r="A26" s="275" t="s">
        <v>93</v>
      </c>
      <c r="B26" s="276"/>
      <c r="C26" s="276"/>
      <c r="D26" s="277"/>
      <c r="E26" s="67"/>
      <c r="F26" s="67"/>
      <c r="G26" s="67"/>
      <c r="H26" s="67"/>
    </row>
    <row r="27" spans="1:8" x14ac:dyDescent="0.25">
      <c r="A27" s="162" t="s">
        <v>94</v>
      </c>
      <c r="B27" s="163">
        <v>221</v>
      </c>
      <c r="C27" s="160">
        <f>ГОРЛЕС!L8/1000</f>
        <v>64.128309999999999</v>
      </c>
      <c r="D27" s="164" t="s">
        <v>66</v>
      </c>
      <c r="E27" s="67"/>
      <c r="F27" s="67"/>
      <c r="G27" s="67"/>
      <c r="H27" s="67"/>
    </row>
    <row r="28" spans="1:8" x14ac:dyDescent="0.25">
      <c r="A28" s="275" t="s">
        <v>95</v>
      </c>
      <c r="B28" s="276"/>
      <c r="C28" s="276"/>
      <c r="D28" s="277"/>
      <c r="E28" s="67"/>
      <c r="F28" s="67"/>
      <c r="G28" s="67"/>
      <c r="H28" s="67"/>
    </row>
    <row r="29" spans="1:8" x14ac:dyDescent="0.25">
      <c r="A29" s="162" t="s">
        <v>88</v>
      </c>
      <c r="B29" s="163">
        <v>222</v>
      </c>
      <c r="C29" s="160">
        <f>ГОРЛЕС!L9/1000</f>
        <v>99.75</v>
      </c>
      <c r="D29" s="164" t="s">
        <v>66</v>
      </c>
      <c r="E29" s="67"/>
      <c r="F29" s="67"/>
      <c r="G29" s="67"/>
      <c r="H29" s="67"/>
    </row>
    <row r="30" spans="1:8" x14ac:dyDescent="0.25">
      <c r="A30" s="275" t="s">
        <v>96</v>
      </c>
      <c r="B30" s="276"/>
      <c r="C30" s="276"/>
      <c r="D30" s="277"/>
      <c r="E30" s="67"/>
      <c r="F30" s="67"/>
      <c r="G30" s="67"/>
      <c r="H30" s="67"/>
    </row>
    <row r="31" spans="1:8" x14ac:dyDescent="0.25">
      <c r="A31" s="162" t="s">
        <v>97</v>
      </c>
      <c r="B31" s="171">
        <v>223</v>
      </c>
      <c r="C31" s="170">
        <f>F33/1000</f>
        <v>6.3799575000000006</v>
      </c>
      <c r="D31" s="164" t="s">
        <v>66</v>
      </c>
      <c r="E31" s="67"/>
      <c r="F31" s="67"/>
      <c r="G31" s="67"/>
      <c r="H31" s="67"/>
    </row>
    <row r="32" spans="1:8" x14ac:dyDescent="0.25">
      <c r="A32" s="162" t="s">
        <v>98</v>
      </c>
      <c r="B32" s="171">
        <v>223</v>
      </c>
      <c r="C32" s="170">
        <f>F33/1000</f>
        <v>6.3799575000000006</v>
      </c>
      <c r="D32" s="164" t="s">
        <v>66</v>
      </c>
      <c r="E32" s="67"/>
      <c r="F32" s="67">
        <f>ГОРЛЕС!L12/2</f>
        <v>12759.915000000001</v>
      </c>
      <c r="G32" s="67"/>
      <c r="H32" s="67"/>
    </row>
    <row r="33" spans="1:8" x14ac:dyDescent="0.25">
      <c r="A33" s="162" t="s">
        <v>99</v>
      </c>
      <c r="B33" s="171">
        <v>223</v>
      </c>
      <c r="C33" s="170">
        <f>F32/1000</f>
        <v>12.759915000000001</v>
      </c>
      <c r="D33" s="164" t="s">
        <v>66</v>
      </c>
      <c r="E33" s="67"/>
      <c r="F33" s="67">
        <f>F32/2</f>
        <v>6379.9575000000004</v>
      </c>
      <c r="G33" s="67"/>
      <c r="H33" s="67"/>
    </row>
    <row r="34" spans="1:8" ht="27" customHeight="1" x14ac:dyDescent="0.25">
      <c r="A34" s="162" t="s">
        <v>100</v>
      </c>
      <c r="B34" s="171">
        <v>223</v>
      </c>
      <c r="C34" s="170">
        <f>ГОРЛЕС!L10/1000</f>
        <v>669.07802500000003</v>
      </c>
      <c r="D34" s="164" t="s">
        <v>66</v>
      </c>
      <c r="E34" s="67"/>
      <c r="F34" s="67"/>
      <c r="G34" s="67"/>
      <c r="H34" s="67"/>
    </row>
    <row r="35" spans="1:8" ht="25.5" x14ac:dyDescent="0.25">
      <c r="A35" s="162" t="s">
        <v>101</v>
      </c>
      <c r="B35" s="171">
        <v>223</v>
      </c>
      <c r="C35" s="170">
        <f>ГОРЛЕС!L11/1000</f>
        <v>1379.5118459999999</v>
      </c>
      <c r="D35" s="164" t="s">
        <v>66</v>
      </c>
      <c r="E35" s="67"/>
      <c r="F35" s="77"/>
      <c r="G35" s="77"/>
      <c r="H35" s="67"/>
    </row>
    <row r="36" spans="1:8" x14ac:dyDescent="0.25">
      <c r="A36" s="275" t="s">
        <v>102</v>
      </c>
      <c r="B36" s="276"/>
      <c r="C36" s="276"/>
      <c r="D36" s="277"/>
      <c r="E36" s="67"/>
      <c r="F36" s="67"/>
      <c r="G36" s="67"/>
      <c r="H36" s="67"/>
    </row>
    <row r="37" spans="1:8" ht="25.5" x14ac:dyDescent="0.25">
      <c r="A37" s="132" t="s">
        <v>103</v>
      </c>
      <c r="B37" s="133">
        <v>225</v>
      </c>
      <c r="C37" s="76">
        <f>ГОРЛЕС!I14/1000</f>
        <v>451.35371000000004</v>
      </c>
      <c r="D37" s="134" t="s">
        <v>66</v>
      </c>
      <c r="E37" s="67"/>
      <c r="F37" s="67"/>
      <c r="G37" s="67"/>
      <c r="H37" s="67"/>
    </row>
    <row r="38" spans="1:8" ht="25.5" x14ac:dyDescent="0.25">
      <c r="A38" s="132" t="s">
        <v>104</v>
      </c>
      <c r="B38" s="133">
        <v>225</v>
      </c>
      <c r="C38" s="76">
        <v>0</v>
      </c>
      <c r="D38" s="134" t="s">
        <v>66</v>
      </c>
      <c r="E38" s="67"/>
      <c r="F38" s="67"/>
      <c r="G38" s="67"/>
      <c r="H38" s="67"/>
    </row>
    <row r="39" spans="1:8" x14ac:dyDescent="0.25">
      <c r="A39" s="132" t="s">
        <v>105</v>
      </c>
      <c r="B39" s="133">
        <v>224</v>
      </c>
      <c r="C39" s="76">
        <v>0</v>
      </c>
      <c r="D39" s="134" t="s">
        <v>66</v>
      </c>
      <c r="E39" s="67"/>
      <c r="F39" s="67"/>
      <c r="G39" s="67"/>
      <c r="H39" s="67"/>
    </row>
    <row r="40" spans="1:8" ht="38.25" x14ac:dyDescent="0.25">
      <c r="A40" s="132" t="s">
        <v>106</v>
      </c>
      <c r="B40" s="133">
        <v>225</v>
      </c>
      <c r="C40" s="160">
        <f>ГОРЛЕС!J13/1000</f>
        <v>417.09924999999998</v>
      </c>
      <c r="D40" s="134" t="s">
        <v>66</v>
      </c>
      <c r="E40" s="67"/>
      <c r="F40" s="77">
        <f>C37+C40+C41+C43</f>
        <v>884.75296000000003</v>
      </c>
      <c r="G40" s="67"/>
      <c r="H40" s="67"/>
    </row>
    <row r="41" spans="1:8" ht="28.5" customHeight="1" x14ac:dyDescent="0.25">
      <c r="A41" s="132" t="s">
        <v>107</v>
      </c>
      <c r="B41" s="133">
        <v>225</v>
      </c>
      <c r="C41" s="76">
        <v>0</v>
      </c>
      <c r="D41" s="134" t="s">
        <v>66</v>
      </c>
      <c r="E41" s="67"/>
      <c r="F41" s="79">
        <f>F40-G85</f>
        <v>884.75296000000003</v>
      </c>
      <c r="G41" s="67"/>
      <c r="H41" s="67"/>
    </row>
    <row r="42" spans="1:8" x14ac:dyDescent="0.25">
      <c r="A42" s="267" t="s">
        <v>108</v>
      </c>
      <c r="B42" s="268"/>
      <c r="C42" s="268"/>
      <c r="D42" s="269"/>
      <c r="E42" s="67"/>
      <c r="F42" s="67"/>
      <c r="G42" s="67"/>
      <c r="H42" s="67"/>
    </row>
    <row r="43" spans="1:8" ht="15.75" customHeight="1" x14ac:dyDescent="0.25">
      <c r="A43" s="132" t="s">
        <v>109</v>
      </c>
      <c r="B43" s="133">
        <v>225</v>
      </c>
      <c r="C43" s="78">
        <v>16.3</v>
      </c>
      <c r="D43" s="134" t="s">
        <v>66</v>
      </c>
      <c r="E43" s="67"/>
      <c r="F43" s="67"/>
      <c r="G43" s="67"/>
      <c r="H43" s="67"/>
    </row>
    <row r="44" spans="1:8" ht="25.5" x14ac:dyDescent="0.25">
      <c r="A44" s="132" t="s">
        <v>110</v>
      </c>
      <c r="B44" s="133">
        <v>340</v>
      </c>
      <c r="C44" s="78">
        <f>ГОРЛЕС!L22/1000</f>
        <v>23.87302</v>
      </c>
      <c r="D44" s="134" t="s">
        <v>66</v>
      </c>
      <c r="E44" s="67"/>
      <c r="F44" s="77"/>
      <c r="G44" s="67"/>
      <c r="H44" s="67"/>
    </row>
    <row r="45" spans="1:8" x14ac:dyDescent="0.25">
      <c r="A45" s="132" t="s">
        <v>111</v>
      </c>
      <c r="B45" s="133">
        <v>226</v>
      </c>
      <c r="C45" s="78">
        <f>ГОРЛЕС!L17/1000</f>
        <v>28.296919999999997</v>
      </c>
      <c r="D45" s="134" t="s">
        <v>66</v>
      </c>
      <c r="E45" s="67"/>
      <c r="F45" s="67"/>
      <c r="G45" s="67"/>
      <c r="H45" s="67"/>
    </row>
    <row r="46" spans="1:8" x14ac:dyDescent="0.25">
      <c r="A46" s="132" t="s">
        <v>112</v>
      </c>
      <c r="B46" s="133">
        <v>225</v>
      </c>
      <c r="C46" s="78">
        <v>0</v>
      </c>
      <c r="D46" s="134" t="s">
        <v>66</v>
      </c>
      <c r="E46" s="67"/>
      <c r="F46" s="67"/>
      <c r="G46" s="67"/>
      <c r="H46" s="67"/>
    </row>
    <row r="47" spans="1:8" x14ac:dyDescent="0.25">
      <c r="A47" s="267" t="s">
        <v>113</v>
      </c>
      <c r="B47" s="268"/>
      <c r="C47" s="268"/>
      <c r="D47" s="269"/>
      <c r="E47" s="67"/>
      <c r="F47" s="67"/>
      <c r="G47" s="67"/>
      <c r="H47" s="67"/>
    </row>
    <row r="48" spans="1:8" x14ac:dyDescent="0.25">
      <c r="A48" s="132" t="s">
        <v>87</v>
      </c>
      <c r="B48" s="133">
        <v>212</v>
      </c>
      <c r="C48" s="78">
        <f>ГОРЛЕС!L6/1000</f>
        <v>582.86388999999997</v>
      </c>
      <c r="D48" s="134" t="s">
        <v>66</v>
      </c>
      <c r="E48" s="67"/>
      <c r="F48" s="67"/>
      <c r="G48" s="67"/>
      <c r="H48" s="67"/>
    </row>
    <row r="49" spans="1:8" x14ac:dyDescent="0.25">
      <c r="A49" s="132" t="s">
        <v>114</v>
      </c>
      <c r="B49" s="133">
        <v>224</v>
      </c>
      <c r="C49" s="78">
        <v>0</v>
      </c>
      <c r="D49" s="134" t="s">
        <v>66</v>
      </c>
      <c r="E49" s="67"/>
      <c r="F49" s="67"/>
      <c r="G49" s="67"/>
      <c r="H49" s="67"/>
    </row>
    <row r="50" spans="1:8" x14ac:dyDescent="0.25">
      <c r="A50" s="132" t="s">
        <v>89</v>
      </c>
      <c r="B50" s="133">
        <v>226</v>
      </c>
      <c r="C50" s="78">
        <f>(ГОРЛЕС!L18+ГОРЛЕС!L19+ГОРЛЕС!L16+ГОРЛЕС!L15)/1000</f>
        <v>1053.7996400000002</v>
      </c>
      <c r="D50" s="134" t="s">
        <v>66</v>
      </c>
      <c r="E50" s="67"/>
      <c r="F50" s="67"/>
      <c r="G50" s="67"/>
      <c r="H50" s="67"/>
    </row>
    <row r="51" spans="1:8" x14ac:dyDescent="0.25">
      <c r="A51" s="132" t="s">
        <v>90</v>
      </c>
      <c r="B51" s="133">
        <v>290</v>
      </c>
      <c r="C51" s="78">
        <v>0</v>
      </c>
      <c r="D51" s="134" t="s">
        <v>66</v>
      </c>
      <c r="E51" s="67"/>
      <c r="F51" s="67"/>
      <c r="G51" s="67"/>
      <c r="H51" s="67"/>
    </row>
    <row r="52" spans="1:8" x14ac:dyDescent="0.25">
      <c r="A52" s="132" t="s">
        <v>85</v>
      </c>
      <c r="B52" s="133">
        <v>340</v>
      </c>
      <c r="C52" s="78">
        <f>C44</f>
        <v>23.87302</v>
      </c>
      <c r="D52" s="134" t="s">
        <v>66</v>
      </c>
      <c r="E52" s="67"/>
      <c r="F52" s="67"/>
      <c r="G52" s="67"/>
      <c r="H52" s="67"/>
    </row>
    <row r="53" spans="1:8" x14ac:dyDescent="0.25">
      <c r="A53" s="267" t="s">
        <v>115</v>
      </c>
      <c r="B53" s="268"/>
      <c r="C53" s="268"/>
      <c r="D53" s="269"/>
      <c r="E53" s="67"/>
      <c r="F53" s="67"/>
      <c r="G53" s="67"/>
      <c r="H53" s="67"/>
    </row>
    <row r="54" spans="1:8" x14ac:dyDescent="0.25">
      <c r="A54" s="132" t="s">
        <v>82</v>
      </c>
      <c r="B54" s="133">
        <v>211</v>
      </c>
      <c r="C54" s="76">
        <f>C24</f>
        <v>3223.8059457823242</v>
      </c>
      <c r="D54" s="134">
        <f>ROUND(C54*100/($C$12+$C$13),1)</f>
        <v>21</v>
      </c>
      <c r="E54" s="67"/>
      <c r="F54" s="67"/>
      <c r="G54" s="67"/>
      <c r="H54" s="67"/>
    </row>
    <row r="55" spans="1:8" x14ac:dyDescent="0.25">
      <c r="A55" s="132" t="s">
        <v>116</v>
      </c>
      <c r="B55" s="133">
        <v>213</v>
      </c>
      <c r="C55" s="76">
        <f>C25</f>
        <v>968.71993670758854</v>
      </c>
      <c r="D55" s="134">
        <f t="shared" ref="D55:D65" si="0">ROUND(C55*100/($C$12+$C$13),1)</f>
        <v>6.3</v>
      </c>
      <c r="E55" s="67"/>
      <c r="F55" s="67"/>
      <c r="G55" s="67"/>
      <c r="H55" s="67"/>
    </row>
    <row r="56" spans="1:8" x14ac:dyDescent="0.25">
      <c r="A56" s="132" t="s">
        <v>87</v>
      </c>
      <c r="B56" s="133">
        <v>212</v>
      </c>
      <c r="C56" s="76">
        <f>C48</f>
        <v>582.86388999999997</v>
      </c>
      <c r="D56" s="134">
        <f t="shared" si="0"/>
        <v>3.8</v>
      </c>
      <c r="E56" s="67"/>
      <c r="F56" s="67"/>
      <c r="G56" s="67"/>
      <c r="H56" s="67"/>
    </row>
    <row r="57" spans="1:8" x14ac:dyDescent="0.25">
      <c r="A57" s="132" t="s">
        <v>94</v>
      </c>
      <c r="B57" s="133">
        <v>221</v>
      </c>
      <c r="C57" s="76">
        <f>C27</f>
        <v>64.128309999999999</v>
      </c>
      <c r="D57" s="134">
        <f t="shared" si="0"/>
        <v>0.4</v>
      </c>
      <c r="E57" s="67"/>
      <c r="F57" s="67"/>
      <c r="G57" s="67"/>
      <c r="H57" s="67"/>
    </row>
    <row r="58" spans="1:8" x14ac:dyDescent="0.25">
      <c r="A58" s="132" t="s">
        <v>88</v>
      </c>
      <c r="B58" s="133">
        <v>222</v>
      </c>
      <c r="C58" s="76">
        <f>C29</f>
        <v>99.75</v>
      </c>
      <c r="D58" s="134">
        <f t="shared" si="0"/>
        <v>0.6</v>
      </c>
      <c r="E58" s="67"/>
      <c r="F58" s="67"/>
      <c r="G58" s="67"/>
      <c r="H58" s="67"/>
    </row>
    <row r="59" spans="1:8" x14ac:dyDescent="0.25">
      <c r="A59" s="132" t="s">
        <v>117</v>
      </c>
      <c r="B59" s="133">
        <v>223</v>
      </c>
      <c r="C59" s="76">
        <f>C31+C32+C33+C34+C35</f>
        <v>2074.1097009999999</v>
      </c>
      <c r="D59" s="134">
        <f t="shared" si="0"/>
        <v>13.5</v>
      </c>
      <c r="E59" s="67"/>
      <c r="F59" s="67"/>
      <c r="G59" s="67"/>
      <c r="H59" s="67"/>
    </row>
    <row r="60" spans="1:8" x14ac:dyDescent="0.25">
      <c r="A60" s="132" t="s">
        <v>118</v>
      </c>
      <c r="B60" s="133">
        <v>224</v>
      </c>
      <c r="C60" s="76">
        <f>C39</f>
        <v>0</v>
      </c>
      <c r="D60" s="134">
        <f t="shared" si="0"/>
        <v>0</v>
      </c>
      <c r="E60" s="67"/>
      <c r="F60" s="67"/>
      <c r="G60" s="67"/>
      <c r="H60" s="67"/>
    </row>
    <row r="61" spans="1:8" x14ac:dyDescent="0.25">
      <c r="A61" s="132" t="s">
        <v>119</v>
      </c>
      <c r="B61" s="133">
        <v>225</v>
      </c>
      <c r="C61" s="76">
        <f>C37+C38+C40+C41</f>
        <v>868.45296000000008</v>
      </c>
      <c r="D61" s="134">
        <f t="shared" si="0"/>
        <v>5.7</v>
      </c>
      <c r="E61" s="67"/>
      <c r="F61" s="67"/>
      <c r="G61" s="67"/>
      <c r="H61" s="67"/>
    </row>
    <row r="62" spans="1:8" x14ac:dyDescent="0.25">
      <c r="A62" s="132" t="s">
        <v>89</v>
      </c>
      <c r="B62" s="133">
        <v>226</v>
      </c>
      <c r="C62" s="76">
        <f>C45+C50</f>
        <v>1082.0965600000002</v>
      </c>
      <c r="D62" s="134">
        <f t="shared" si="0"/>
        <v>7</v>
      </c>
      <c r="E62" s="67"/>
      <c r="F62" s="67"/>
      <c r="G62" s="67"/>
      <c r="H62" s="67"/>
    </row>
    <row r="63" spans="1:8" x14ac:dyDescent="0.25">
      <c r="A63" s="132" t="s">
        <v>90</v>
      </c>
      <c r="B63" s="133">
        <v>290</v>
      </c>
      <c r="C63" s="76">
        <f>C51</f>
        <v>0</v>
      </c>
      <c r="D63" s="134">
        <f t="shared" si="0"/>
        <v>0</v>
      </c>
      <c r="E63" s="67"/>
      <c r="F63" s="67"/>
      <c r="G63" s="67"/>
      <c r="H63" s="67"/>
    </row>
    <row r="64" spans="1:8" x14ac:dyDescent="0.25">
      <c r="A64" s="132" t="s">
        <v>120</v>
      </c>
      <c r="B64" s="133">
        <v>340</v>
      </c>
      <c r="C64" s="76">
        <f>C52</f>
        <v>23.87302</v>
      </c>
      <c r="D64" s="134">
        <f t="shared" si="0"/>
        <v>0.2</v>
      </c>
      <c r="E64" s="67"/>
      <c r="F64" s="67"/>
      <c r="G64" s="67"/>
      <c r="H64" s="67"/>
    </row>
    <row r="65" spans="1:8" x14ac:dyDescent="0.25">
      <c r="A65" s="132" t="s">
        <v>121</v>
      </c>
      <c r="B65" s="133"/>
      <c r="C65" s="76">
        <v>0</v>
      </c>
      <c r="D65" s="135">
        <f t="shared" si="0"/>
        <v>0</v>
      </c>
      <c r="E65" s="67"/>
      <c r="F65" s="67"/>
      <c r="G65" s="67"/>
      <c r="H65" s="67"/>
    </row>
    <row r="66" spans="1:8" x14ac:dyDescent="0.25">
      <c r="A66" s="136" t="s">
        <v>122</v>
      </c>
      <c r="B66" s="133"/>
      <c r="C66" s="137">
        <f>C12+C13+C15+C17+C18+C20+C21+SUM(C54:C64)</f>
        <v>25296.601552300002</v>
      </c>
      <c r="D66" s="134">
        <f>SUM(D54:D65)</f>
        <v>58.500000000000007</v>
      </c>
      <c r="E66" s="67"/>
      <c r="F66" s="79"/>
      <c r="G66" s="67"/>
      <c r="H66" s="67"/>
    </row>
    <row r="67" spans="1:8" x14ac:dyDescent="0.25">
      <c r="A67" s="267" t="s">
        <v>123</v>
      </c>
      <c r="B67" s="268"/>
      <c r="C67" s="268"/>
      <c r="D67" s="269"/>
      <c r="E67" s="67"/>
      <c r="F67" s="67"/>
      <c r="G67" s="67"/>
      <c r="H67" s="67"/>
    </row>
    <row r="68" spans="1:8" ht="25.5" x14ac:dyDescent="0.25">
      <c r="A68" s="132" t="s">
        <v>100</v>
      </c>
      <c r="B68" s="133">
        <v>223</v>
      </c>
      <c r="C68" s="160">
        <f>ГОРЛЕС!M10/1000</f>
        <v>669.07802500000003</v>
      </c>
      <c r="D68" s="134" t="s">
        <v>66</v>
      </c>
      <c r="E68" s="67"/>
      <c r="F68" s="67"/>
      <c r="G68" s="67"/>
      <c r="H68" s="67"/>
    </row>
    <row r="69" spans="1:8" ht="25.5" x14ac:dyDescent="0.25">
      <c r="A69" s="132" t="s">
        <v>124</v>
      </c>
      <c r="B69" s="133">
        <v>223</v>
      </c>
      <c r="C69" s="160">
        <f>ГОРЛЕС!M11/1000</f>
        <v>153.27909400000001</v>
      </c>
      <c r="D69" s="134" t="s">
        <v>66</v>
      </c>
      <c r="E69" s="67"/>
      <c r="F69" s="67"/>
      <c r="G69" s="67"/>
      <c r="H69" s="67"/>
    </row>
    <row r="70" spans="1:8" x14ac:dyDescent="0.25">
      <c r="A70" s="132" t="s">
        <v>125</v>
      </c>
      <c r="B70" s="133">
        <v>290</v>
      </c>
      <c r="C70" s="160">
        <f>ГОРЛЕС!M23/1000</f>
        <v>948.79100000000005</v>
      </c>
      <c r="D70" s="134" t="s">
        <v>66</v>
      </c>
      <c r="E70" s="67"/>
      <c r="F70" s="67"/>
      <c r="G70" s="67"/>
      <c r="H70" s="67"/>
    </row>
    <row r="71" spans="1:8" x14ac:dyDescent="0.25">
      <c r="A71" s="136" t="s">
        <v>126</v>
      </c>
      <c r="B71" s="133"/>
      <c r="C71" s="161">
        <f>SUM(C68:C70)</f>
        <v>1771.148119</v>
      </c>
      <c r="D71" s="134" t="s">
        <v>66</v>
      </c>
      <c r="E71" s="67"/>
      <c r="F71" s="67"/>
      <c r="G71" s="67"/>
      <c r="H71" s="67"/>
    </row>
    <row r="72" spans="1:8" ht="31.5" customHeight="1" x14ac:dyDescent="0.25">
      <c r="A72" s="267" t="s">
        <v>127</v>
      </c>
      <c r="B72" s="268"/>
      <c r="C72" s="268"/>
      <c r="D72" s="269"/>
      <c r="E72" s="67"/>
      <c r="F72" s="67"/>
      <c r="G72" s="67"/>
      <c r="H72" s="67"/>
    </row>
    <row r="73" spans="1:8" x14ac:dyDescent="0.25">
      <c r="A73" s="132" t="s">
        <v>82</v>
      </c>
      <c r="B73" s="133">
        <v>211</v>
      </c>
      <c r="C73" s="170">
        <f>C54+C12</f>
        <v>15027.062599999999</v>
      </c>
      <c r="D73" s="134" t="s">
        <v>66</v>
      </c>
      <c r="E73" s="77"/>
      <c r="F73" s="77"/>
      <c r="G73" s="77"/>
      <c r="H73" s="77"/>
    </row>
    <row r="74" spans="1:8" x14ac:dyDescent="0.25">
      <c r="A74" s="132" t="s">
        <v>116</v>
      </c>
      <c r="B74" s="133">
        <v>213</v>
      </c>
      <c r="C74" s="170">
        <f>C55+C13</f>
        <v>4515.0686612999998</v>
      </c>
      <c r="D74" s="134" t="s">
        <v>66</v>
      </c>
      <c r="E74" s="77"/>
      <c r="F74" s="77"/>
      <c r="G74" s="77"/>
      <c r="H74" s="77"/>
    </row>
    <row r="75" spans="1:8" x14ac:dyDescent="0.25">
      <c r="A75" s="132" t="s">
        <v>87</v>
      </c>
      <c r="B75" s="133">
        <v>212</v>
      </c>
      <c r="C75" s="170">
        <f>C56+C17</f>
        <v>582.86388999999997</v>
      </c>
      <c r="D75" s="134" t="s">
        <v>66</v>
      </c>
      <c r="E75" s="77"/>
      <c r="F75" s="77"/>
      <c r="G75" s="77"/>
      <c r="H75" s="77"/>
    </row>
    <row r="76" spans="1:8" x14ac:dyDescent="0.25">
      <c r="A76" s="132" t="s">
        <v>94</v>
      </c>
      <c r="B76" s="133">
        <v>221</v>
      </c>
      <c r="C76" s="170">
        <f>C57</f>
        <v>64.128309999999999</v>
      </c>
      <c r="D76" s="134" t="s">
        <v>66</v>
      </c>
      <c r="E76" s="77"/>
      <c r="F76" s="77"/>
      <c r="G76" s="77"/>
      <c r="H76" s="77"/>
    </row>
    <row r="77" spans="1:8" x14ac:dyDescent="0.25">
      <c r="A77" s="132" t="s">
        <v>88</v>
      </c>
      <c r="B77" s="133">
        <v>222</v>
      </c>
      <c r="C77" s="170">
        <f>C58+C18</f>
        <v>99.75</v>
      </c>
      <c r="D77" s="134" t="s">
        <v>66</v>
      </c>
      <c r="E77" s="77"/>
      <c r="F77" s="77"/>
      <c r="G77" s="77"/>
      <c r="H77" s="77"/>
    </row>
    <row r="78" spans="1:8" x14ac:dyDescent="0.25">
      <c r="A78" s="132" t="s">
        <v>117</v>
      </c>
      <c r="B78" s="133">
        <v>223</v>
      </c>
      <c r="C78" s="170">
        <f>C59+C68+C69</f>
        <v>2896.4668200000001</v>
      </c>
      <c r="D78" s="134" t="s">
        <v>66</v>
      </c>
      <c r="E78" s="77"/>
      <c r="F78" s="77"/>
      <c r="G78" s="77"/>
      <c r="H78" s="77"/>
    </row>
    <row r="79" spans="1:8" x14ac:dyDescent="0.25">
      <c r="A79" s="132" t="s">
        <v>118</v>
      </c>
      <c r="B79" s="133">
        <v>224</v>
      </c>
      <c r="C79" s="170">
        <f>C60</f>
        <v>0</v>
      </c>
      <c r="D79" s="134" t="s">
        <v>66</v>
      </c>
      <c r="E79" s="77"/>
      <c r="F79" s="77"/>
      <c r="G79" s="77"/>
      <c r="H79" s="77"/>
    </row>
    <row r="80" spans="1:8" ht="18.75" customHeight="1" x14ac:dyDescent="0.25">
      <c r="A80" s="132" t="s">
        <v>119</v>
      </c>
      <c r="B80" s="133">
        <v>225</v>
      </c>
      <c r="C80" s="170">
        <f>C37+C38+C40+C41</f>
        <v>868.45296000000008</v>
      </c>
      <c r="D80" s="134" t="s">
        <v>66</v>
      </c>
      <c r="E80" s="77"/>
      <c r="F80" s="77"/>
      <c r="G80" s="77"/>
      <c r="H80" s="77"/>
    </row>
    <row r="81" spans="1:8" ht="18.75" customHeight="1" x14ac:dyDescent="0.25">
      <c r="A81" s="132" t="s">
        <v>89</v>
      </c>
      <c r="B81" s="133">
        <v>226</v>
      </c>
      <c r="C81" s="170">
        <f>C62</f>
        <v>1082.0965600000002</v>
      </c>
      <c r="D81" s="134" t="s">
        <v>66</v>
      </c>
      <c r="E81" s="77"/>
      <c r="F81" s="77"/>
      <c r="G81" s="77"/>
      <c r="H81" s="77"/>
    </row>
    <row r="82" spans="1:8" x14ac:dyDescent="0.25">
      <c r="A82" s="132" t="s">
        <v>90</v>
      </c>
      <c r="B82" s="133">
        <v>290</v>
      </c>
      <c r="C82" s="170">
        <f>C70+C63+C21</f>
        <v>948.79100000000005</v>
      </c>
      <c r="D82" s="134" t="s">
        <v>66</v>
      </c>
      <c r="E82" s="77"/>
      <c r="F82" s="77"/>
      <c r="G82" s="77"/>
      <c r="H82" s="77"/>
    </row>
    <row r="83" spans="1:8" x14ac:dyDescent="0.25">
      <c r="A83" s="132" t="s">
        <v>120</v>
      </c>
      <c r="B83" s="133">
        <v>340</v>
      </c>
      <c r="C83" s="170">
        <f>C44+C15</f>
        <v>983.06886999999995</v>
      </c>
      <c r="D83" s="134" t="s">
        <v>66</v>
      </c>
      <c r="E83" s="77"/>
      <c r="F83" s="77"/>
      <c r="G83" s="77"/>
      <c r="H83" s="77"/>
    </row>
    <row r="84" spans="1:8" ht="15.75" thickBot="1" x14ac:dyDescent="0.3">
      <c r="A84" s="80" t="s">
        <v>128</v>
      </c>
      <c r="B84" s="81"/>
      <c r="C84" s="158">
        <f>SUM(C73:C83)</f>
        <v>27067.7496713</v>
      </c>
      <c r="D84" s="82"/>
      <c r="E84" s="77"/>
      <c r="F84" s="77"/>
      <c r="G84" s="43">
        <f>ГОРЛЕС!I24/1000</f>
        <v>27067.7496713</v>
      </c>
      <c r="H84" s="77"/>
    </row>
    <row r="85" spans="1:8" ht="16.5" thickTop="1" x14ac:dyDescent="0.25">
      <c r="A85" s="83"/>
      <c r="G85" s="36">
        <f>C84-G84</f>
        <v>0</v>
      </c>
    </row>
    <row r="88" spans="1:8" x14ac:dyDescent="0.25">
      <c r="E88" s="57"/>
    </row>
  </sheetData>
  <mergeCells count="21">
    <mergeCell ref="A53:D53"/>
    <mergeCell ref="A67:D67"/>
    <mergeCell ref="A72:D72"/>
    <mergeCell ref="A26:D26"/>
    <mergeCell ref="A28:D28"/>
    <mergeCell ref="A30:D30"/>
    <mergeCell ref="A36:D36"/>
    <mergeCell ref="A42:D42"/>
    <mergeCell ref="A47:D47"/>
    <mergeCell ref="A23:D23"/>
    <mergeCell ref="B2:D2"/>
    <mergeCell ref="B3:D3"/>
    <mergeCell ref="A4:D4"/>
    <mergeCell ref="A5:D5"/>
    <mergeCell ref="A6:D6"/>
    <mergeCell ref="A9:D9"/>
    <mergeCell ref="A10:D10"/>
    <mergeCell ref="A11:D11"/>
    <mergeCell ref="A14:D14"/>
    <mergeCell ref="A16:D16"/>
    <mergeCell ref="A22:D22"/>
  </mergeCells>
  <pageMargins left="0.78740157480314965" right="0" top="0" bottom="0" header="0" footer="0"/>
  <pageSetup paperSize="9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90"/>
  <sheetViews>
    <sheetView topLeftCell="A33" workbookViewId="0">
      <selection activeCell="I76" sqref="I76"/>
    </sheetView>
  </sheetViews>
  <sheetFormatPr defaultRowHeight="15" x14ac:dyDescent="0.25"/>
  <cols>
    <col min="1" max="1" width="4" customWidth="1"/>
    <col min="2" max="2" width="23.28515625" customWidth="1"/>
    <col min="3" max="3" width="8.42578125" style="42" customWidth="1"/>
    <col min="4" max="4" width="10.28515625" style="42" customWidth="1"/>
    <col min="5" max="5" width="10.42578125" style="42" customWidth="1"/>
    <col min="6" max="6" width="14.5703125" style="42" customWidth="1"/>
    <col min="7" max="7" width="16.28515625" style="42" customWidth="1"/>
    <col min="8" max="8" width="10" style="42" bestFit="1" customWidth="1"/>
    <col min="9" max="9" width="14.85546875" style="42" customWidth="1"/>
    <col min="11" max="13" width="9.7109375" bestFit="1" customWidth="1"/>
  </cols>
  <sheetData>
    <row r="1" spans="1:12" s="49" customFormat="1" ht="11.25" x14ac:dyDescent="0.2">
      <c r="C1" s="66"/>
      <c r="D1" s="66"/>
      <c r="E1" s="66"/>
      <c r="F1" s="66"/>
      <c r="G1" s="66"/>
      <c r="H1" s="66"/>
      <c r="I1" s="84" t="s">
        <v>129</v>
      </c>
    </row>
    <row r="2" spans="1:12" s="49" customFormat="1" ht="11.25" x14ac:dyDescent="0.2">
      <c r="C2" s="66"/>
      <c r="D2" s="66"/>
      <c r="E2" s="66"/>
      <c r="F2" s="84"/>
      <c r="G2" s="282" t="s">
        <v>52</v>
      </c>
      <c r="H2" s="282"/>
      <c r="I2" s="282"/>
    </row>
    <row r="3" spans="1:12" s="49" customFormat="1" ht="11.25" x14ac:dyDescent="0.2">
      <c r="C3" s="66"/>
      <c r="D3" s="66"/>
      <c r="E3" s="66"/>
      <c r="F3" s="84"/>
      <c r="G3" s="282" t="s">
        <v>53</v>
      </c>
      <c r="H3" s="282"/>
      <c r="I3" s="282"/>
    </row>
    <row r="4" spans="1:12" s="49" customFormat="1" ht="11.25" x14ac:dyDescent="0.2">
      <c r="C4" s="66"/>
      <c r="D4" s="66"/>
      <c r="E4" s="66"/>
      <c r="F4" s="282" t="s">
        <v>54</v>
      </c>
      <c r="G4" s="282"/>
      <c r="H4" s="282"/>
      <c r="I4" s="282"/>
    </row>
    <row r="6" spans="1:12" ht="15" customHeight="1" x14ac:dyDescent="0.25">
      <c r="A6" s="283" t="s">
        <v>130</v>
      </c>
      <c r="B6" s="283"/>
      <c r="C6" s="283"/>
      <c r="D6" s="283"/>
      <c r="E6" s="283"/>
      <c r="F6" s="283"/>
      <c r="G6" s="283"/>
      <c r="H6" s="283"/>
      <c r="I6" s="283"/>
    </row>
    <row r="7" spans="1:12" ht="15.75" customHeight="1" thickBot="1" x14ac:dyDescent="0.3">
      <c r="A7" s="283" t="s">
        <v>171</v>
      </c>
      <c r="B7" s="283"/>
      <c r="C7" s="283"/>
      <c r="D7" s="283"/>
      <c r="E7" s="283"/>
      <c r="F7" s="283"/>
      <c r="G7" s="283"/>
      <c r="H7" s="283"/>
      <c r="I7" s="283"/>
    </row>
    <row r="8" spans="1:12" s="72" customFormat="1" ht="90" x14ac:dyDescent="0.2">
      <c r="A8" s="63" t="s">
        <v>131</v>
      </c>
      <c r="B8" s="64" t="s">
        <v>132</v>
      </c>
      <c r="C8" s="85" t="s">
        <v>2</v>
      </c>
      <c r="D8" s="85" t="s">
        <v>196</v>
      </c>
      <c r="E8" s="85" t="s">
        <v>133</v>
      </c>
      <c r="F8" s="85" t="s">
        <v>134</v>
      </c>
      <c r="G8" s="85" t="s">
        <v>135</v>
      </c>
      <c r="H8" s="85" t="s">
        <v>6</v>
      </c>
      <c r="I8" s="86" t="s">
        <v>136</v>
      </c>
    </row>
    <row r="9" spans="1:12" s="72" customFormat="1" ht="11.25" x14ac:dyDescent="0.2">
      <c r="A9" s="65">
        <v>1</v>
      </c>
      <c r="B9" s="51">
        <v>2</v>
      </c>
      <c r="C9" s="74">
        <v>3</v>
      </c>
      <c r="D9" s="74">
        <v>4</v>
      </c>
      <c r="E9" s="74">
        <v>5</v>
      </c>
      <c r="F9" s="74">
        <v>6</v>
      </c>
      <c r="G9" s="74" t="s">
        <v>137</v>
      </c>
      <c r="H9" s="74">
        <v>8</v>
      </c>
      <c r="I9" s="87" t="s">
        <v>138</v>
      </c>
    </row>
    <row r="10" spans="1:12" s="72" customFormat="1" ht="12.75" customHeight="1" x14ac:dyDescent="0.2">
      <c r="A10" s="278">
        <v>1</v>
      </c>
      <c r="B10" s="279" t="s">
        <v>170</v>
      </c>
      <c r="C10" s="125">
        <v>900</v>
      </c>
      <c r="D10" s="126">
        <f>SUM(D11:D20)</f>
        <v>9050.2910383411145</v>
      </c>
      <c r="E10" s="126">
        <f>SUM(E11:E20)</f>
        <v>159.86597499999999</v>
      </c>
      <c r="F10" s="126">
        <f>SUM(F11:F20)</f>
        <v>2407.5503845130193</v>
      </c>
      <c r="G10" s="126">
        <f>SUM(G11:G20)</f>
        <v>11617.70739785413</v>
      </c>
      <c r="H10" s="126">
        <f>SUM(H11:H20)</f>
        <v>295.19135316666666</v>
      </c>
      <c r="I10" s="127">
        <f>G10+H10</f>
        <v>11912.898751020797</v>
      </c>
    </row>
    <row r="11" spans="1:12" s="72" customFormat="1" ht="12" customHeight="1" x14ac:dyDescent="0.2">
      <c r="A11" s="278"/>
      <c r="B11" s="280"/>
      <c r="C11" s="74">
        <v>211</v>
      </c>
      <c r="D11" s="88">
        <f>'прил 1'!F19+'прил 1'!F20+'прил 1'!F31</f>
        <v>6959.3164462446093</v>
      </c>
      <c r="E11" s="88">
        <v>0</v>
      </c>
      <c r="F11" s="88">
        <f>'прил 1'!F25+'прил 1'!F13+'прил 1'!F14+'прил 1'!F15+'прил 1'!F16+'прил 1'!F17+'прил 1'!F18</f>
        <v>688.50142074562541</v>
      </c>
      <c r="G11" s="126">
        <f t="shared" ref="G11:G20" si="0">D11+E11+F11</f>
        <v>7647.8178669902345</v>
      </c>
      <c r="H11" s="88">
        <v>0</v>
      </c>
      <c r="I11" s="127">
        <f t="shared" ref="I11:I20" si="1">G11+H11</f>
        <v>7647.8178669902345</v>
      </c>
      <c r="J11" s="72">
        <f>('прил 1'!F13+'прил 1'!F14+'прил 1'!F15+'прил 1'!F16+'прил 1'!F17+'прил 1'!F18+'прил 1'!F25)*30.05%</f>
        <v>206.89467693406044</v>
      </c>
    </row>
    <row r="12" spans="1:12" s="72" customFormat="1" ht="12" customHeight="1" x14ac:dyDescent="0.2">
      <c r="A12" s="278"/>
      <c r="B12" s="280"/>
      <c r="C12" s="74">
        <v>213</v>
      </c>
      <c r="D12" s="88">
        <f>J12-0.3</f>
        <v>2090.9745920965047</v>
      </c>
      <c r="E12" s="88">
        <v>0</v>
      </c>
      <c r="F12" s="88">
        <f>'прил 3'!J11</f>
        <v>206.89467693406044</v>
      </c>
      <c r="G12" s="126">
        <f t="shared" si="0"/>
        <v>2297.8692690305652</v>
      </c>
      <c r="H12" s="88">
        <v>0</v>
      </c>
      <c r="I12" s="127">
        <f t="shared" si="1"/>
        <v>2297.8692690305652</v>
      </c>
      <c r="J12" s="72">
        <f>('прил 1'!F31+'прил 1'!F19+'прил 1'!F20)*30.05%</f>
        <v>2091.2745920965049</v>
      </c>
    </row>
    <row r="13" spans="1:12" s="72" customFormat="1" ht="12" customHeight="1" x14ac:dyDescent="0.2">
      <c r="A13" s="278"/>
      <c r="B13" s="280"/>
      <c r="C13" s="74">
        <v>212</v>
      </c>
      <c r="D13" s="88">
        <v>0</v>
      </c>
      <c r="E13" s="88">
        <v>0</v>
      </c>
      <c r="F13" s="88">
        <f>ГОРЛЕС!L6/1000/6</f>
        <v>97.143981666666662</v>
      </c>
      <c r="G13" s="126">
        <f t="shared" si="0"/>
        <v>97.143981666666662</v>
      </c>
      <c r="H13" s="88">
        <v>0</v>
      </c>
      <c r="I13" s="127">
        <f>G13+H13</f>
        <v>97.143981666666662</v>
      </c>
    </row>
    <row r="14" spans="1:12" s="72" customFormat="1" ht="12" customHeight="1" x14ac:dyDescent="0.2">
      <c r="A14" s="278"/>
      <c r="B14" s="280"/>
      <c r="C14" s="74">
        <v>221</v>
      </c>
      <c r="D14" s="88">
        <v>0</v>
      </c>
      <c r="E14" s="88">
        <v>0</v>
      </c>
      <c r="F14" s="88">
        <f>ГОРЛЕС!L8/1000/6</f>
        <v>10.688051666666667</v>
      </c>
      <c r="G14" s="126">
        <f t="shared" si="0"/>
        <v>10.688051666666667</v>
      </c>
      <c r="H14" s="88">
        <v>0</v>
      </c>
      <c r="I14" s="127">
        <f t="shared" si="1"/>
        <v>10.688051666666667</v>
      </c>
    </row>
    <row r="15" spans="1:12" s="72" customFormat="1" ht="12" customHeight="1" x14ac:dyDescent="0.2">
      <c r="A15" s="278"/>
      <c r="B15" s="280"/>
      <c r="C15" s="74">
        <v>222</v>
      </c>
      <c r="D15" s="88">
        <v>0</v>
      </c>
      <c r="E15" s="88">
        <v>0</v>
      </c>
      <c r="F15" s="167">
        <f>(ГОРЛЕС!L9/1000)/6</f>
        <v>16.625</v>
      </c>
      <c r="G15" s="126">
        <f t="shared" si="0"/>
        <v>16.625</v>
      </c>
      <c r="H15" s="88">
        <v>0</v>
      </c>
      <c r="I15" s="127">
        <f t="shared" si="1"/>
        <v>16.625</v>
      </c>
    </row>
    <row r="16" spans="1:12" s="72" customFormat="1" ht="12" customHeight="1" x14ac:dyDescent="0.2">
      <c r="A16" s="278"/>
      <c r="B16" s="280"/>
      <c r="C16" s="74">
        <v>223</v>
      </c>
      <c r="D16" s="88">
        <v>0</v>
      </c>
      <c r="E16" s="88">
        <v>0</v>
      </c>
      <c r="F16" s="167">
        <f>(ГОРЛЕС!L11+ГОРЛЕС!L10+ГОРЛЕС!L12)/6/1000</f>
        <v>345.68495016666662</v>
      </c>
      <c r="G16" s="126">
        <f t="shared" si="0"/>
        <v>345.68495016666662</v>
      </c>
      <c r="H16" s="88">
        <f>(ГОРЛЕС!M10+ГОРЛЕС!M11)/6/1000</f>
        <v>137.05951983333335</v>
      </c>
      <c r="I16" s="127">
        <f t="shared" si="1"/>
        <v>482.74446999999998</v>
      </c>
      <c r="L16" s="72" t="s">
        <v>182</v>
      </c>
    </row>
    <row r="17" spans="1:11" s="72" customFormat="1" ht="12" customHeight="1" x14ac:dyDescent="0.2">
      <c r="A17" s="278"/>
      <c r="B17" s="280"/>
      <c r="C17" s="74">
        <v>225</v>
      </c>
      <c r="D17" s="88">
        <v>0</v>
      </c>
      <c r="E17" s="88">
        <v>0</v>
      </c>
      <c r="F17" s="167">
        <f>(ГОРЛЕС!L13+ГОРЛЕС!L14)/6/1000</f>
        <v>144.74216000000001</v>
      </c>
      <c r="G17" s="126">
        <f t="shared" si="0"/>
        <v>144.74216000000001</v>
      </c>
      <c r="H17" s="88">
        <v>0</v>
      </c>
      <c r="I17" s="127">
        <f t="shared" si="1"/>
        <v>144.74216000000001</v>
      </c>
    </row>
    <row r="18" spans="1:11" s="72" customFormat="1" ht="12" customHeight="1" x14ac:dyDescent="0.2">
      <c r="A18" s="278"/>
      <c r="B18" s="280"/>
      <c r="C18" s="74">
        <v>226</v>
      </c>
      <c r="D18" s="88">
        <v>0</v>
      </c>
      <c r="E18" s="159">
        <v>0</v>
      </c>
      <c r="F18" s="167">
        <f>ГОРЛЕС!L16/1000+ГОРЛЕС!L19/6/1000+ГОРЛЕС!L18/1000+(ГОРЛЕС!L15/6/1000)</f>
        <v>893.29130666666663</v>
      </c>
      <c r="G18" s="126">
        <f>D18+E18+F18</f>
        <v>893.29130666666663</v>
      </c>
      <c r="H18" s="88">
        <v>0</v>
      </c>
      <c r="I18" s="127">
        <f t="shared" si="1"/>
        <v>893.29130666666663</v>
      </c>
    </row>
    <row r="19" spans="1:11" s="72" customFormat="1" ht="12" customHeight="1" x14ac:dyDescent="0.2">
      <c r="A19" s="278"/>
      <c r="B19" s="280"/>
      <c r="C19" s="74">
        <v>290</v>
      </c>
      <c r="D19" s="88">
        <v>0</v>
      </c>
      <c r="E19" s="88">
        <v>0</v>
      </c>
      <c r="F19" s="167">
        <v>0</v>
      </c>
      <c r="G19" s="126">
        <f t="shared" si="0"/>
        <v>0</v>
      </c>
      <c r="H19" s="88">
        <f>ГОРЛЕС!M23/1000/6</f>
        <v>158.13183333333333</v>
      </c>
      <c r="I19" s="127">
        <f t="shared" si="1"/>
        <v>158.13183333333333</v>
      </c>
    </row>
    <row r="20" spans="1:11" s="72" customFormat="1" ht="12" customHeight="1" x14ac:dyDescent="0.2">
      <c r="A20" s="278"/>
      <c r="B20" s="281"/>
      <c r="C20" s="74">
        <v>340</v>
      </c>
      <c r="D20" s="88">
        <v>0</v>
      </c>
      <c r="E20" s="138">
        <f>'прил 2'!C15/6</f>
        <v>159.86597499999999</v>
      </c>
      <c r="F20" s="138">
        <f>'прил 2'!C44/6</f>
        <v>3.9788366666666666</v>
      </c>
      <c r="G20" s="126">
        <f t="shared" si="0"/>
        <v>163.84481166666666</v>
      </c>
      <c r="H20" s="88">
        <v>0</v>
      </c>
      <c r="I20" s="127">
        <f t="shared" si="1"/>
        <v>163.84481166666666</v>
      </c>
    </row>
    <row r="21" spans="1:11" s="72" customFormat="1" ht="12" customHeight="1" x14ac:dyDescent="0.2">
      <c r="A21" s="278">
        <v>2</v>
      </c>
      <c r="B21" s="288" t="s">
        <v>189</v>
      </c>
      <c r="C21" s="125">
        <v>900</v>
      </c>
      <c r="D21" s="126">
        <f>SUM(D22:D31)</f>
        <v>1613.3767544201419</v>
      </c>
      <c r="E21" s="126">
        <f>SUM(E22:E31)</f>
        <v>159.86597499999999</v>
      </c>
      <c r="F21" s="166">
        <f>SUM(F22:F31)</f>
        <v>1324.5458137953788</v>
      </c>
      <c r="G21" s="126">
        <f>SUM(G22:G31)</f>
        <v>3097.7885432155208</v>
      </c>
      <c r="H21" s="126">
        <f>SUM(H22:H31)</f>
        <v>295.19135316666666</v>
      </c>
      <c r="I21" s="127">
        <f>G21+H21</f>
        <v>3392.9798963821877</v>
      </c>
    </row>
    <row r="22" spans="1:11" s="72" customFormat="1" ht="12" customHeight="1" x14ac:dyDescent="0.2">
      <c r="A22" s="278"/>
      <c r="B22" s="288"/>
      <c r="C22" s="74">
        <v>211</v>
      </c>
      <c r="D22" s="214">
        <f>'прил 1'!H19+'прил 1'!H20+'прил 1'!H31</f>
        <v>1240.6587884814624</v>
      </c>
      <c r="E22" s="214">
        <v>0</v>
      </c>
      <c r="F22" s="214">
        <f>'прил 1'!H13+'прил 1'!H14+'прил 1'!H15+'прил 1'!H16+'прил 1'!H17+'прил 1'!H18+'прил 1'!H25</f>
        <v>507.06090500733984</v>
      </c>
      <c r="G22" s="126">
        <f t="shared" ref="G22:G30" si="2">D22+E22+F22</f>
        <v>1747.7196934888022</v>
      </c>
      <c r="H22" s="88">
        <v>0</v>
      </c>
      <c r="I22" s="127">
        <f t="shared" ref="I22:I23" si="3">G22+H22</f>
        <v>1747.7196934888022</v>
      </c>
      <c r="J22" s="72">
        <f>D22*30.05%</f>
        <v>372.81796593867944</v>
      </c>
    </row>
    <row r="23" spans="1:11" s="72" customFormat="1" ht="12" customHeight="1" x14ac:dyDescent="0.2">
      <c r="A23" s="278"/>
      <c r="B23" s="288"/>
      <c r="C23" s="74">
        <v>213</v>
      </c>
      <c r="D23" s="214">
        <f>J22-0.1</f>
        <v>372.71796593867941</v>
      </c>
      <c r="E23" s="214">
        <v>0</v>
      </c>
      <c r="F23" s="214">
        <f>J23</f>
        <v>152.3718019547056</v>
      </c>
      <c r="G23" s="126">
        <f t="shared" si="2"/>
        <v>525.08976789338499</v>
      </c>
      <c r="H23" s="88">
        <v>0</v>
      </c>
      <c r="I23" s="127">
        <f t="shared" si="3"/>
        <v>525.08976789338499</v>
      </c>
      <c r="J23" s="72">
        <f>F22*30.05%</f>
        <v>152.3718019547056</v>
      </c>
    </row>
    <row r="24" spans="1:11" s="72" customFormat="1" ht="12" customHeight="1" x14ac:dyDescent="0.2">
      <c r="A24" s="278"/>
      <c r="B24" s="288"/>
      <c r="C24" s="74">
        <v>212</v>
      </c>
      <c r="D24" s="88">
        <v>0</v>
      </c>
      <c r="E24" s="88">
        <v>0</v>
      </c>
      <c r="F24" s="167">
        <f>F13</f>
        <v>97.143981666666662</v>
      </c>
      <c r="G24" s="126">
        <f t="shared" si="2"/>
        <v>97.143981666666662</v>
      </c>
      <c r="H24" s="88">
        <v>0</v>
      </c>
      <c r="I24" s="127">
        <f>G24+H24</f>
        <v>97.143981666666662</v>
      </c>
    </row>
    <row r="25" spans="1:11" s="72" customFormat="1" ht="12" customHeight="1" x14ac:dyDescent="0.2">
      <c r="A25" s="278"/>
      <c r="B25" s="288"/>
      <c r="C25" s="74">
        <v>221</v>
      </c>
      <c r="D25" s="88">
        <v>0</v>
      </c>
      <c r="E25" s="88">
        <v>0</v>
      </c>
      <c r="F25" s="167">
        <f t="shared" ref="F25:F30" si="4">F14</f>
        <v>10.688051666666667</v>
      </c>
      <c r="G25" s="126">
        <f t="shared" si="2"/>
        <v>10.688051666666667</v>
      </c>
      <c r="H25" s="88">
        <v>0</v>
      </c>
      <c r="I25" s="127">
        <f t="shared" ref="I25:I31" si="5">G25+H25</f>
        <v>10.688051666666667</v>
      </c>
    </row>
    <row r="26" spans="1:11" s="72" customFormat="1" ht="12" customHeight="1" x14ac:dyDescent="0.2">
      <c r="A26" s="278"/>
      <c r="B26" s="288"/>
      <c r="C26" s="74">
        <v>222</v>
      </c>
      <c r="D26" s="88">
        <v>0</v>
      </c>
      <c r="E26" s="88">
        <v>0</v>
      </c>
      <c r="F26" s="167">
        <f>F15</f>
        <v>16.625</v>
      </c>
      <c r="G26" s="126">
        <f t="shared" si="2"/>
        <v>16.625</v>
      </c>
      <c r="H26" s="88">
        <v>0</v>
      </c>
      <c r="I26" s="127">
        <f t="shared" si="5"/>
        <v>16.625</v>
      </c>
    </row>
    <row r="27" spans="1:11" s="72" customFormat="1" ht="12" customHeight="1" x14ac:dyDescent="0.2">
      <c r="A27" s="278"/>
      <c r="B27" s="288"/>
      <c r="C27" s="74">
        <v>223</v>
      </c>
      <c r="D27" s="88">
        <v>0</v>
      </c>
      <c r="E27" s="88">
        <v>0</v>
      </c>
      <c r="F27" s="167">
        <f t="shared" si="4"/>
        <v>345.68495016666662</v>
      </c>
      <c r="G27" s="126">
        <f t="shared" si="2"/>
        <v>345.68495016666662</v>
      </c>
      <c r="H27" s="88">
        <f>H16</f>
        <v>137.05951983333335</v>
      </c>
      <c r="I27" s="127">
        <f t="shared" si="5"/>
        <v>482.74446999999998</v>
      </c>
    </row>
    <row r="28" spans="1:11" s="72" customFormat="1" ht="12" customHeight="1" x14ac:dyDescent="0.2">
      <c r="A28" s="278"/>
      <c r="B28" s="288"/>
      <c r="C28" s="74">
        <v>225</v>
      </c>
      <c r="D28" s="88">
        <v>0</v>
      </c>
      <c r="E28" s="88">
        <v>0</v>
      </c>
      <c r="F28" s="167">
        <f t="shared" si="4"/>
        <v>144.74216000000001</v>
      </c>
      <c r="G28" s="126">
        <f t="shared" si="2"/>
        <v>144.74216000000001</v>
      </c>
      <c r="H28" s="88">
        <v>0</v>
      </c>
      <c r="I28" s="127">
        <f t="shared" si="5"/>
        <v>144.74216000000001</v>
      </c>
    </row>
    <row r="29" spans="1:11" s="72" customFormat="1" ht="12" customHeight="1" x14ac:dyDescent="0.2">
      <c r="A29" s="278"/>
      <c r="B29" s="288"/>
      <c r="C29" s="74">
        <v>226</v>
      </c>
      <c r="D29" s="88">
        <v>0</v>
      </c>
      <c r="E29" s="88">
        <v>0</v>
      </c>
      <c r="F29" s="167">
        <f>ГОРЛЕС!L17/2/1000+ГОРЛЕС!L19/6/1000+(ГОРЛЕС!L15/6/1000)</f>
        <v>46.250126666666667</v>
      </c>
      <c r="G29" s="126">
        <f t="shared" si="2"/>
        <v>46.250126666666667</v>
      </c>
      <c r="H29" s="88">
        <v>0</v>
      </c>
      <c r="I29" s="127">
        <f t="shared" si="5"/>
        <v>46.250126666666667</v>
      </c>
    </row>
    <row r="30" spans="1:11" s="72" customFormat="1" ht="12" customHeight="1" x14ac:dyDescent="0.2">
      <c r="A30" s="278"/>
      <c r="B30" s="288"/>
      <c r="C30" s="74">
        <v>290</v>
      </c>
      <c r="D30" s="88">
        <v>0</v>
      </c>
      <c r="E30" s="88">
        <v>0</v>
      </c>
      <c r="F30" s="167">
        <f t="shared" si="4"/>
        <v>0</v>
      </c>
      <c r="G30" s="126">
        <f t="shared" si="2"/>
        <v>0</v>
      </c>
      <c r="H30" s="88">
        <f>H19</f>
        <v>158.13183333333333</v>
      </c>
      <c r="I30" s="127">
        <f t="shared" si="5"/>
        <v>158.13183333333333</v>
      </c>
    </row>
    <row r="31" spans="1:11" s="72" customFormat="1" ht="12" customHeight="1" x14ac:dyDescent="0.2">
      <c r="A31" s="278"/>
      <c r="B31" s="288"/>
      <c r="C31" s="74">
        <v>340</v>
      </c>
      <c r="D31" s="88">
        <v>0</v>
      </c>
      <c r="E31" s="138">
        <f>E20</f>
        <v>159.86597499999999</v>
      </c>
      <c r="F31" s="138">
        <f>F20</f>
        <v>3.9788366666666666</v>
      </c>
      <c r="G31" s="126">
        <f>G20</f>
        <v>163.84481166666666</v>
      </c>
      <c r="H31" s="88">
        <f>H20</f>
        <v>0</v>
      </c>
      <c r="I31" s="127">
        <f t="shared" si="5"/>
        <v>163.84481166666666</v>
      </c>
    </row>
    <row r="32" spans="1:11" s="128" customFormat="1" ht="12" customHeight="1" x14ac:dyDescent="0.2">
      <c r="A32" s="278">
        <v>3</v>
      </c>
      <c r="B32" s="288" t="s">
        <v>169</v>
      </c>
      <c r="C32" s="125">
        <v>900</v>
      </c>
      <c r="D32" s="126">
        <f t="shared" ref="D32:I32" si="6">SUM(D33:D42)</f>
        <v>1024.1969105428959</v>
      </c>
      <c r="E32" s="126">
        <f t="shared" si="6"/>
        <v>159.86597499999999</v>
      </c>
      <c r="F32" s="166">
        <f t="shared" si="6"/>
        <v>1310.3973537953789</v>
      </c>
      <c r="G32" s="126">
        <f t="shared" si="6"/>
        <v>2494.4602393382747</v>
      </c>
      <c r="H32" s="126">
        <f t="shared" si="6"/>
        <v>295.19135316666666</v>
      </c>
      <c r="I32" s="127">
        <f t="shared" si="6"/>
        <v>2789.6515925049412</v>
      </c>
      <c r="K32" s="129"/>
    </row>
    <row r="33" spans="1:11" s="128" customFormat="1" ht="12" customHeight="1" x14ac:dyDescent="0.2">
      <c r="A33" s="278"/>
      <c r="B33" s="288"/>
      <c r="C33" s="74">
        <v>211</v>
      </c>
      <c r="D33" s="88">
        <f>'прил 1'!J31+'прил 1'!J19+'прил 1'!J20</f>
        <v>787.54087700338016</v>
      </c>
      <c r="E33" s="88">
        <v>0</v>
      </c>
      <c r="F33" s="167">
        <f>F22</f>
        <v>507.06090500733984</v>
      </c>
      <c r="G33" s="126">
        <f>D33+E33+F33</f>
        <v>1294.6017820107199</v>
      </c>
      <c r="H33" s="88">
        <v>0</v>
      </c>
      <c r="I33" s="127">
        <f>G33+H33</f>
        <v>1294.6017820107199</v>
      </c>
      <c r="J33" s="129">
        <f>D33*30.05%</f>
        <v>236.65603353951573</v>
      </c>
      <c r="K33" s="129"/>
    </row>
    <row r="34" spans="1:11" s="128" customFormat="1" ht="12" customHeight="1" x14ac:dyDescent="0.2">
      <c r="A34" s="278"/>
      <c r="B34" s="288"/>
      <c r="C34" s="74">
        <v>213</v>
      </c>
      <c r="D34" s="88">
        <f>J33</f>
        <v>236.65603353951573</v>
      </c>
      <c r="E34" s="88">
        <v>0</v>
      </c>
      <c r="F34" s="167">
        <f>F23</f>
        <v>152.3718019547056</v>
      </c>
      <c r="G34" s="126">
        <f t="shared" ref="G34:G41" si="7">D34+E34+F34</f>
        <v>389.02783549422134</v>
      </c>
      <c r="H34" s="88">
        <v>0</v>
      </c>
      <c r="I34" s="127">
        <f t="shared" ref="I34:I42" si="8">G34+H34</f>
        <v>389.02783549422134</v>
      </c>
      <c r="J34" s="129"/>
      <c r="K34" s="129"/>
    </row>
    <row r="35" spans="1:11" s="128" customFormat="1" ht="12" customHeight="1" x14ac:dyDescent="0.2">
      <c r="A35" s="278"/>
      <c r="B35" s="288"/>
      <c r="C35" s="74">
        <v>212</v>
      </c>
      <c r="D35" s="88">
        <v>0</v>
      </c>
      <c r="E35" s="88">
        <v>0</v>
      </c>
      <c r="F35" s="167">
        <f t="shared" ref="F35:F41" si="9">F13</f>
        <v>97.143981666666662</v>
      </c>
      <c r="G35" s="126">
        <f t="shared" si="7"/>
        <v>97.143981666666662</v>
      </c>
      <c r="H35" s="88">
        <v>0</v>
      </c>
      <c r="I35" s="127">
        <f t="shared" si="8"/>
        <v>97.143981666666662</v>
      </c>
      <c r="J35" s="129"/>
      <c r="K35" s="129"/>
    </row>
    <row r="36" spans="1:11" s="128" customFormat="1" ht="12" customHeight="1" x14ac:dyDescent="0.2">
      <c r="A36" s="278"/>
      <c r="B36" s="288"/>
      <c r="C36" s="74">
        <v>221</v>
      </c>
      <c r="D36" s="88">
        <v>0</v>
      </c>
      <c r="E36" s="88">
        <v>0</v>
      </c>
      <c r="F36" s="167">
        <f t="shared" si="9"/>
        <v>10.688051666666667</v>
      </c>
      <c r="G36" s="126">
        <f t="shared" si="7"/>
        <v>10.688051666666667</v>
      </c>
      <c r="H36" s="88">
        <v>0</v>
      </c>
      <c r="I36" s="127">
        <f t="shared" si="8"/>
        <v>10.688051666666667</v>
      </c>
      <c r="K36" s="129"/>
    </row>
    <row r="37" spans="1:11" s="128" customFormat="1" ht="12" customHeight="1" x14ac:dyDescent="0.2">
      <c r="A37" s="278"/>
      <c r="B37" s="288"/>
      <c r="C37" s="74">
        <v>222</v>
      </c>
      <c r="D37" s="88">
        <v>0</v>
      </c>
      <c r="E37" s="88">
        <v>0</v>
      </c>
      <c r="F37" s="167">
        <f>F26</f>
        <v>16.625</v>
      </c>
      <c r="G37" s="126">
        <f t="shared" si="7"/>
        <v>16.625</v>
      </c>
      <c r="H37" s="88">
        <v>0</v>
      </c>
      <c r="I37" s="127">
        <f t="shared" si="8"/>
        <v>16.625</v>
      </c>
      <c r="K37" s="129"/>
    </row>
    <row r="38" spans="1:11" s="128" customFormat="1" ht="12" customHeight="1" x14ac:dyDescent="0.2">
      <c r="A38" s="278"/>
      <c r="B38" s="288"/>
      <c r="C38" s="74">
        <v>223</v>
      </c>
      <c r="D38" s="88">
        <v>0</v>
      </c>
      <c r="E38" s="88">
        <v>0</v>
      </c>
      <c r="F38" s="167">
        <f t="shared" si="9"/>
        <v>345.68495016666662</v>
      </c>
      <c r="G38" s="126">
        <f t="shared" si="7"/>
        <v>345.68495016666662</v>
      </c>
      <c r="H38" s="88">
        <f>H27</f>
        <v>137.05951983333335</v>
      </c>
      <c r="I38" s="127">
        <f t="shared" si="8"/>
        <v>482.74446999999998</v>
      </c>
      <c r="K38" s="129"/>
    </row>
    <row r="39" spans="1:11" s="128" customFormat="1" ht="12" customHeight="1" x14ac:dyDescent="0.2">
      <c r="A39" s="278"/>
      <c r="B39" s="288"/>
      <c r="C39" s="74">
        <v>225</v>
      </c>
      <c r="D39" s="88">
        <v>0</v>
      </c>
      <c r="E39" s="88">
        <v>0</v>
      </c>
      <c r="F39" s="167">
        <f t="shared" si="9"/>
        <v>144.74216000000001</v>
      </c>
      <c r="G39" s="126">
        <f t="shared" si="7"/>
        <v>144.74216000000001</v>
      </c>
      <c r="H39" s="88">
        <v>0</v>
      </c>
      <c r="I39" s="127">
        <f t="shared" si="8"/>
        <v>144.74216000000001</v>
      </c>
      <c r="K39" s="129"/>
    </row>
    <row r="40" spans="1:11" s="128" customFormat="1" ht="12" customHeight="1" x14ac:dyDescent="0.2">
      <c r="A40" s="278"/>
      <c r="B40" s="288"/>
      <c r="C40" s="74">
        <v>226</v>
      </c>
      <c r="D40" s="88">
        <v>0</v>
      </c>
      <c r="E40" s="88">
        <v>0</v>
      </c>
      <c r="F40" s="167">
        <f>ГОРЛЕС!L19/6/1000+(ГОРЛЕС!L15/6/1000)</f>
        <v>32.101666666666667</v>
      </c>
      <c r="G40" s="126">
        <f t="shared" si="7"/>
        <v>32.101666666666667</v>
      </c>
      <c r="H40" s="88">
        <v>0</v>
      </c>
      <c r="I40" s="127">
        <f t="shared" si="8"/>
        <v>32.101666666666667</v>
      </c>
      <c r="K40" s="129"/>
    </row>
    <row r="41" spans="1:11" s="128" customFormat="1" ht="12" customHeight="1" x14ac:dyDescent="0.2">
      <c r="A41" s="278"/>
      <c r="B41" s="288"/>
      <c r="C41" s="74">
        <v>290</v>
      </c>
      <c r="D41" s="88">
        <v>0</v>
      </c>
      <c r="E41" s="88">
        <v>0</v>
      </c>
      <c r="F41" s="167">
        <f t="shared" si="9"/>
        <v>0</v>
      </c>
      <c r="G41" s="126">
        <f t="shared" si="7"/>
        <v>0</v>
      </c>
      <c r="H41" s="88">
        <f>H30</f>
        <v>158.13183333333333</v>
      </c>
      <c r="I41" s="127">
        <f t="shared" si="8"/>
        <v>158.13183333333333</v>
      </c>
      <c r="K41" s="129"/>
    </row>
    <row r="42" spans="1:11" s="128" customFormat="1" ht="12" customHeight="1" x14ac:dyDescent="0.2">
      <c r="A42" s="278"/>
      <c r="B42" s="288"/>
      <c r="C42" s="74">
        <v>340</v>
      </c>
      <c r="D42" s="88">
        <v>0</v>
      </c>
      <c r="E42" s="88">
        <f>E20</f>
        <v>159.86597499999999</v>
      </c>
      <c r="F42" s="167">
        <f>F20</f>
        <v>3.9788366666666666</v>
      </c>
      <c r="G42" s="126">
        <f>G20</f>
        <v>163.84481166666666</v>
      </c>
      <c r="H42" s="88">
        <v>0</v>
      </c>
      <c r="I42" s="127">
        <f t="shared" si="8"/>
        <v>163.84481166666666</v>
      </c>
      <c r="K42" s="129"/>
    </row>
    <row r="43" spans="1:11" s="128" customFormat="1" ht="12" customHeight="1" x14ac:dyDescent="0.2">
      <c r="A43" s="284">
        <v>4</v>
      </c>
      <c r="B43" s="279" t="s">
        <v>173</v>
      </c>
      <c r="C43" s="125">
        <v>900</v>
      </c>
      <c r="D43" s="126">
        <f t="shared" ref="D43" si="10">SUM(D44:D53)</f>
        <v>1024.1969105428959</v>
      </c>
      <c r="E43" s="126">
        <f t="shared" ref="E43:I43" si="11">SUM(E44:E53)</f>
        <v>159.86597499999999</v>
      </c>
      <c r="F43" s="166">
        <f t="shared" si="11"/>
        <v>1310.3973537953789</v>
      </c>
      <c r="G43" s="126">
        <f t="shared" si="11"/>
        <v>2494.4602393382747</v>
      </c>
      <c r="H43" s="126">
        <f t="shared" si="11"/>
        <v>295.19135316666666</v>
      </c>
      <c r="I43" s="127">
        <f t="shared" si="11"/>
        <v>2789.6515925049412</v>
      </c>
      <c r="K43" s="129"/>
    </row>
    <row r="44" spans="1:11" s="128" customFormat="1" ht="12" customHeight="1" x14ac:dyDescent="0.2">
      <c r="A44" s="285"/>
      <c r="B44" s="280"/>
      <c r="C44" s="74">
        <v>211</v>
      </c>
      <c r="D44" s="88">
        <f>D33</f>
        <v>787.54087700338016</v>
      </c>
      <c r="E44" s="88">
        <v>0</v>
      </c>
      <c r="F44" s="167">
        <f>F22</f>
        <v>507.06090500733984</v>
      </c>
      <c r="G44" s="126">
        <f>D44+E44+F44</f>
        <v>1294.6017820107199</v>
      </c>
      <c r="H44" s="88">
        <v>0</v>
      </c>
      <c r="I44" s="127">
        <f>G44+H44</f>
        <v>1294.6017820107199</v>
      </c>
      <c r="K44" s="129"/>
    </row>
    <row r="45" spans="1:11" s="128" customFormat="1" ht="12" customHeight="1" x14ac:dyDescent="0.2">
      <c r="A45" s="285"/>
      <c r="B45" s="280"/>
      <c r="C45" s="74">
        <v>213</v>
      </c>
      <c r="D45" s="88">
        <f>D34</f>
        <v>236.65603353951573</v>
      </c>
      <c r="E45" s="88">
        <v>0</v>
      </c>
      <c r="F45" s="167">
        <f>F23</f>
        <v>152.3718019547056</v>
      </c>
      <c r="G45" s="126">
        <f t="shared" ref="G45:G53" si="12">D45+E45+F45</f>
        <v>389.02783549422134</v>
      </c>
      <c r="H45" s="88">
        <v>0</v>
      </c>
      <c r="I45" s="127">
        <f t="shared" ref="I45:I53" si="13">G45+H45</f>
        <v>389.02783549422134</v>
      </c>
      <c r="K45" s="129"/>
    </row>
    <row r="46" spans="1:11" s="128" customFormat="1" ht="12" customHeight="1" x14ac:dyDescent="0.2">
      <c r="A46" s="285"/>
      <c r="B46" s="280"/>
      <c r="C46" s="74">
        <v>212</v>
      </c>
      <c r="D46" s="88">
        <v>0</v>
      </c>
      <c r="E46" s="88">
        <f>E13</f>
        <v>0</v>
      </c>
      <c r="F46" s="167">
        <f>F13</f>
        <v>97.143981666666662</v>
      </c>
      <c r="G46" s="126">
        <f t="shared" si="12"/>
        <v>97.143981666666662</v>
      </c>
      <c r="H46" s="88">
        <v>0</v>
      </c>
      <c r="I46" s="127">
        <f t="shared" si="13"/>
        <v>97.143981666666662</v>
      </c>
      <c r="K46" s="129"/>
    </row>
    <row r="47" spans="1:11" s="128" customFormat="1" ht="12" customHeight="1" x14ac:dyDescent="0.2">
      <c r="A47" s="285"/>
      <c r="B47" s="280"/>
      <c r="C47" s="74">
        <v>221</v>
      </c>
      <c r="D47" s="88">
        <v>0</v>
      </c>
      <c r="E47" s="88">
        <f t="shared" ref="E47:F52" si="14">E14</f>
        <v>0</v>
      </c>
      <c r="F47" s="167">
        <f t="shared" si="14"/>
        <v>10.688051666666667</v>
      </c>
      <c r="G47" s="126">
        <f t="shared" si="12"/>
        <v>10.688051666666667</v>
      </c>
      <c r="H47" s="88">
        <v>0</v>
      </c>
      <c r="I47" s="127">
        <f t="shared" si="13"/>
        <v>10.688051666666667</v>
      </c>
      <c r="K47" s="129"/>
    </row>
    <row r="48" spans="1:11" s="128" customFormat="1" ht="12" customHeight="1" x14ac:dyDescent="0.2">
      <c r="A48" s="285"/>
      <c r="B48" s="280"/>
      <c r="C48" s="74">
        <v>222</v>
      </c>
      <c r="D48" s="88">
        <v>0</v>
      </c>
      <c r="E48" s="88">
        <f t="shared" si="14"/>
        <v>0</v>
      </c>
      <c r="F48" s="167">
        <f>F26</f>
        <v>16.625</v>
      </c>
      <c r="G48" s="126">
        <f t="shared" si="12"/>
        <v>16.625</v>
      </c>
      <c r="H48" s="88">
        <v>0</v>
      </c>
      <c r="I48" s="127">
        <f t="shared" si="13"/>
        <v>16.625</v>
      </c>
      <c r="K48" s="129"/>
    </row>
    <row r="49" spans="1:13" s="128" customFormat="1" ht="12" customHeight="1" x14ac:dyDescent="0.2">
      <c r="A49" s="285"/>
      <c r="B49" s="280"/>
      <c r="C49" s="74">
        <v>223</v>
      </c>
      <c r="D49" s="88">
        <v>0</v>
      </c>
      <c r="E49" s="88">
        <f t="shared" si="14"/>
        <v>0</v>
      </c>
      <c r="F49" s="167">
        <f t="shared" si="14"/>
        <v>345.68495016666662</v>
      </c>
      <c r="G49" s="126">
        <f t="shared" si="12"/>
        <v>345.68495016666662</v>
      </c>
      <c r="H49" s="88">
        <f>H16</f>
        <v>137.05951983333335</v>
      </c>
      <c r="I49" s="127">
        <f t="shared" si="13"/>
        <v>482.74446999999998</v>
      </c>
      <c r="K49" s="129"/>
    </row>
    <row r="50" spans="1:13" s="128" customFormat="1" ht="12" customHeight="1" x14ac:dyDescent="0.2">
      <c r="A50" s="285"/>
      <c r="B50" s="280"/>
      <c r="C50" s="74">
        <v>225</v>
      </c>
      <c r="D50" s="88">
        <v>0</v>
      </c>
      <c r="E50" s="88">
        <f t="shared" si="14"/>
        <v>0</v>
      </c>
      <c r="F50" s="167">
        <f t="shared" si="14"/>
        <v>144.74216000000001</v>
      </c>
      <c r="G50" s="126">
        <f t="shared" si="12"/>
        <v>144.74216000000001</v>
      </c>
      <c r="H50" s="88">
        <v>0</v>
      </c>
      <c r="I50" s="127">
        <f t="shared" si="13"/>
        <v>144.74216000000001</v>
      </c>
      <c r="K50" s="129"/>
    </row>
    <row r="51" spans="1:13" s="128" customFormat="1" ht="12" customHeight="1" x14ac:dyDescent="0.2">
      <c r="A51" s="285"/>
      <c r="B51" s="280"/>
      <c r="C51" s="74">
        <v>226</v>
      </c>
      <c r="D51" s="88">
        <v>0</v>
      </c>
      <c r="E51" s="88">
        <v>0</v>
      </c>
      <c r="F51" s="167">
        <f>ГОРЛЕС!L19/6/1000+ГОРЛЕС!L15/6/1000</f>
        <v>32.101666666666667</v>
      </c>
      <c r="G51" s="126">
        <f t="shared" si="12"/>
        <v>32.101666666666667</v>
      </c>
      <c r="H51" s="88">
        <v>0</v>
      </c>
      <c r="I51" s="127">
        <f t="shared" si="13"/>
        <v>32.101666666666667</v>
      </c>
      <c r="K51" s="129"/>
    </row>
    <row r="52" spans="1:13" s="128" customFormat="1" ht="12" customHeight="1" x14ac:dyDescent="0.2">
      <c r="A52" s="285"/>
      <c r="B52" s="280"/>
      <c r="C52" s="74">
        <v>290</v>
      </c>
      <c r="D52" s="88">
        <v>0</v>
      </c>
      <c r="E52" s="88">
        <f t="shared" si="14"/>
        <v>0</v>
      </c>
      <c r="F52" s="167">
        <f t="shared" ref="F52:F53" si="15">F19</f>
        <v>0</v>
      </c>
      <c r="G52" s="126">
        <f t="shared" si="12"/>
        <v>0</v>
      </c>
      <c r="H52" s="88">
        <f>H19</f>
        <v>158.13183333333333</v>
      </c>
      <c r="I52" s="127">
        <f t="shared" si="13"/>
        <v>158.13183333333333</v>
      </c>
      <c r="K52" s="129"/>
    </row>
    <row r="53" spans="1:13" s="128" customFormat="1" ht="12" customHeight="1" x14ac:dyDescent="0.2">
      <c r="A53" s="286"/>
      <c r="B53" s="281"/>
      <c r="C53" s="74">
        <v>340</v>
      </c>
      <c r="D53" s="88">
        <v>0</v>
      </c>
      <c r="E53" s="138">
        <f>E20</f>
        <v>159.86597499999999</v>
      </c>
      <c r="F53" s="138">
        <f t="shared" si="15"/>
        <v>3.9788366666666666</v>
      </c>
      <c r="G53" s="126">
        <f t="shared" si="12"/>
        <v>163.84481166666666</v>
      </c>
      <c r="H53" s="88">
        <v>0</v>
      </c>
      <c r="I53" s="127">
        <f t="shared" si="13"/>
        <v>163.84481166666666</v>
      </c>
      <c r="K53" s="129"/>
    </row>
    <row r="54" spans="1:13" s="128" customFormat="1" ht="12" customHeight="1" x14ac:dyDescent="0.2">
      <c r="A54" s="284">
        <v>5</v>
      </c>
      <c r="B54" s="279" t="s">
        <v>190</v>
      </c>
      <c r="C54" s="125">
        <v>900</v>
      </c>
      <c r="D54" s="126">
        <f t="shared" ref="D54" si="16">SUM(D55:D64)</f>
        <v>1024.1969105428959</v>
      </c>
      <c r="E54" s="126">
        <f t="shared" ref="E54:I54" si="17">SUM(E55:E64)</f>
        <v>159.86597499999999</v>
      </c>
      <c r="F54" s="166">
        <f t="shared" si="17"/>
        <v>1324.5458137953788</v>
      </c>
      <c r="G54" s="126">
        <f t="shared" si="17"/>
        <v>2508.6086993382751</v>
      </c>
      <c r="H54" s="126">
        <f t="shared" si="17"/>
        <v>295.19135316666666</v>
      </c>
      <c r="I54" s="127">
        <f t="shared" si="17"/>
        <v>2803.8000525049415</v>
      </c>
      <c r="K54" s="129"/>
      <c r="M54" s="129"/>
    </row>
    <row r="55" spans="1:13" s="128" customFormat="1" ht="12" customHeight="1" x14ac:dyDescent="0.2">
      <c r="A55" s="285"/>
      <c r="B55" s="280"/>
      <c r="C55" s="74">
        <v>211</v>
      </c>
      <c r="D55" s="88">
        <f>D33</f>
        <v>787.54087700338016</v>
      </c>
      <c r="E55" s="88">
        <v>0</v>
      </c>
      <c r="F55" s="167">
        <f>F22</f>
        <v>507.06090500733984</v>
      </c>
      <c r="G55" s="126">
        <f>D55+E55+F55</f>
        <v>1294.6017820107199</v>
      </c>
      <c r="H55" s="88">
        <v>0</v>
      </c>
      <c r="I55" s="127">
        <f>G55+H55</f>
        <v>1294.6017820107199</v>
      </c>
      <c r="K55" s="129"/>
    </row>
    <row r="56" spans="1:13" s="128" customFormat="1" ht="12" customHeight="1" x14ac:dyDescent="0.2">
      <c r="A56" s="285"/>
      <c r="B56" s="280"/>
      <c r="C56" s="74">
        <v>213</v>
      </c>
      <c r="D56" s="88">
        <f>D34</f>
        <v>236.65603353951573</v>
      </c>
      <c r="E56" s="88">
        <v>0</v>
      </c>
      <c r="F56" s="167">
        <f>F23</f>
        <v>152.3718019547056</v>
      </c>
      <c r="G56" s="126">
        <f t="shared" ref="G56:G64" si="18">D56+E56+F56</f>
        <v>389.02783549422134</v>
      </c>
      <c r="H56" s="88">
        <v>0</v>
      </c>
      <c r="I56" s="127">
        <f t="shared" ref="I56:I64" si="19">G56+H56</f>
        <v>389.02783549422134</v>
      </c>
      <c r="K56" s="129"/>
    </row>
    <row r="57" spans="1:13" s="128" customFormat="1" ht="12" customHeight="1" x14ac:dyDescent="0.2">
      <c r="A57" s="285"/>
      <c r="B57" s="280"/>
      <c r="C57" s="74">
        <v>212</v>
      </c>
      <c r="D57" s="88">
        <v>0</v>
      </c>
      <c r="E57" s="88">
        <f>E24</f>
        <v>0</v>
      </c>
      <c r="F57" s="167">
        <f>F13</f>
        <v>97.143981666666662</v>
      </c>
      <c r="G57" s="126">
        <f t="shared" si="18"/>
        <v>97.143981666666662</v>
      </c>
      <c r="H57" s="88">
        <v>0</v>
      </c>
      <c r="I57" s="127">
        <f>G57+H57</f>
        <v>97.143981666666662</v>
      </c>
      <c r="K57" s="129"/>
    </row>
    <row r="58" spans="1:13" s="128" customFormat="1" ht="12" customHeight="1" x14ac:dyDescent="0.2">
      <c r="A58" s="285"/>
      <c r="B58" s="280"/>
      <c r="C58" s="74">
        <v>221</v>
      </c>
      <c r="D58" s="88">
        <v>0</v>
      </c>
      <c r="E58" s="88">
        <f t="shared" ref="E58" si="20">E25</f>
        <v>0</v>
      </c>
      <c r="F58" s="167">
        <f t="shared" ref="F58:F63" si="21">F14</f>
        <v>10.688051666666667</v>
      </c>
      <c r="G58" s="126">
        <f t="shared" si="18"/>
        <v>10.688051666666667</v>
      </c>
      <c r="H58" s="88">
        <v>0</v>
      </c>
      <c r="I58" s="127">
        <f t="shared" si="19"/>
        <v>10.688051666666667</v>
      </c>
      <c r="K58" s="129"/>
    </row>
    <row r="59" spans="1:13" s="128" customFormat="1" ht="12" customHeight="1" x14ac:dyDescent="0.2">
      <c r="A59" s="285"/>
      <c r="B59" s="280"/>
      <c r="C59" s="74">
        <v>222</v>
      </c>
      <c r="D59" s="88">
        <v>0</v>
      </c>
      <c r="E59" s="88">
        <f t="shared" ref="E59" si="22">E26</f>
        <v>0</v>
      </c>
      <c r="F59" s="167">
        <f>F26</f>
        <v>16.625</v>
      </c>
      <c r="G59" s="126">
        <f t="shared" si="18"/>
        <v>16.625</v>
      </c>
      <c r="H59" s="88">
        <v>0</v>
      </c>
      <c r="I59" s="127">
        <f>G59+H59</f>
        <v>16.625</v>
      </c>
      <c r="K59" s="129"/>
    </row>
    <row r="60" spans="1:13" s="128" customFormat="1" ht="12" customHeight="1" x14ac:dyDescent="0.2">
      <c r="A60" s="285"/>
      <c r="B60" s="280"/>
      <c r="C60" s="74">
        <v>223</v>
      </c>
      <c r="D60" s="88">
        <v>0</v>
      </c>
      <c r="E60" s="88">
        <f t="shared" ref="E60" si="23">E27</f>
        <v>0</v>
      </c>
      <c r="F60" s="167">
        <f t="shared" si="21"/>
        <v>345.68495016666662</v>
      </c>
      <c r="G60" s="126">
        <f t="shared" si="18"/>
        <v>345.68495016666662</v>
      </c>
      <c r="H60" s="88">
        <f>H16</f>
        <v>137.05951983333335</v>
      </c>
      <c r="I60" s="127">
        <f t="shared" si="19"/>
        <v>482.74446999999998</v>
      </c>
      <c r="K60" s="129"/>
    </row>
    <row r="61" spans="1:13" s="128" customFormat="1" ht="12" customHeight="1" x14ac:dyDescent="0.2">
      <c r="A61" s="285"/>
      <c r="B61" s="280"/>
      <c r="C61" s="74">
        <v>225</v>
      </c>
      <c r="D61" s="88">
        <v>0</v>
      </c>
      <c r="E61" s="88">
        <f t="shared" ref="E61" si="24">E28</f>
        <v>0</v>
      </c>
      <c r="F61" s="167">
        <f t="shared" si="21"/>
        <v>144.74216000000001</v>
      </c>
      <c r="G61" s="126">
        <f t="shared" si="18"/>
        <v>144.74216000000001</v>
      </c>
      <c r="H61" s="88">
        <v>0</v>
      </c>
      <c r="I61" s="127">
        <f t="shared" si="19"/>
        <v>144.74216000000001</v>
      </c>
      <c r="K61" s="129"/>
    </row>
    <row r="62" spans="1:13" s="128" customFormat="1" ht="12" customHeight="1" x14ac:dyDescent="0.2">
      <c r="A62" s="285"/>
      <c r="B62" s="280"/>
      <c r="C62" s="74">
        <v>226</v>
      </c>
      <c r="D62" s="88">
        <v>0</v>
      </c>
      <c r="E62" s="88">
        <v>0</v>
      </c>
      <c r="F62" s="167">
        <f>ГОРЛЕС!L19/6/1000+ГОРЛЕС!L17/2/1000+(ГОРЛЕС!L15/6/1000)</f>
        <v>46.250126666666667</v>
      </c>
      <c r="G62" s="126">
        <f t="shared" si="18"/>
        <v>46.250126666666667</v>
      </c>
      <c r="H62" s="88">
        <v>0</v>
      </c>
      <c r="I62" s="127">
        <f t="shared" si="19"/>
        <v>46.250126666666667</v>
      </c>
      <c r="K62" s="129"/>
    </row>
    <row r="63" spans="1:13" s="128" customFormat="1" ht="12" customHeight="1" x14ac:dyDescent="0.2">
      <c r="A63" s="285"/>
      <c r="B63" s="280"/>
      <c r="C63" s="74">
        <v>290</v>
      </c>
      <c r="D63" s="88">
        <v>0</v>
      </c>
      <c r="E63" s="88">
        <f t="shared" ref="E63" si="25">E30</f>
        <v>0</v>
      </c>
      <c r="F63" s="167">
        <f t="shared" si="21"/>
        <v>0</v>
      </c>
      <c r="G63" s="126">
        <f t="shared" si="18"/>
        <v>0</v>
      </c>
      <c r="H63" s="88">
        <f>H19</f>
        <v>158.13183333333333</v>
      </c>
      <c r="I63" s="127">
        <f t="shared" si="19"/>
        <v>158.13183333333333</v>
      </c>
      <c r="K63" s="129"/>
    </row>
    <row r="64" spans="1:13" s="128" customFormat="1" ht="12" customHeight="1" x14ac:dyDescent="0.2">
      <c r="A64" s="286"/>
      <c r="B64" s="281"/>
      <c r="C64" s="74">
        <v>340</v>
      </c>
      <c r="D64" s="88">
        <v>0</v>
      </c>
      <c r="E64" s="138">
        <f>E20</f>
        <v>159.86597499999999</v>
      </c>
      <c r="F64" s="138">
        <f>F53</f>
        <v>3.9788366666666666</v>
      </c>
      <c r="G64" s="126">
        <f t="shared" si="18"/>
        <v>163.84481166666666</v>
      </c>
      <c r="H64" s="88">
        <v>0</v>
      </c>
      <c r="I64" s="127">
        <f t="shared" si="19"/>
        <v>163.84481166666666</v>
      </c>
      <c r="K64" s="129"/>
    </row>
    <row r="65" spans="1:13" s="128" customFormat="1" ht="12" customHeight="1" x14ac:dyDescent="0.2">
      <c r="A65" s="284">
        <v>6</v>
      </c>
      <c r="B65" s="279" t="s">
        <v>193</v>
      </c>
      <c r="C65" s="125">
        <v>900</v>
      </c>
      <c r="D65" s="126">
        <f t="shared" ref="D65" si="26">SUM(D66:D75)</f>
        <v>1613.3767544201419</v>
      </c>
      <c r="E65" s="126">
        <f t="shared" ref="E65:I65" si="27">SUM(E66:E75)</f>
        <v>159.86597499999999</v>
      </c>
      <c r="F65" s="166">
        <f t="shared" si="27"/>
        <v>1310.3973537953789</v>
      </c>
      <c r="G65" s="126">
        <f t="shared" si="27"/>
        <v>3083.6400832155205</v>
      </c>
      <c r="H65" s="126">
        <f t="shared" si="27"/>
        <v>295.19135316666666</v>
      </c>
      <c r="I65" s="127">
        <f t="shared" si="27"/>
        <v>3378.8314363821869</v>
      </c>
      <c r="K65" s="129"/>
      <c r="M65" s="129"/>
    </row>
    <row r="66" spans="1:13" s="128" customFormat="1" ht="12" customHeight="1" x14ac:dyDescent="0.2">
      <c r="A66" s="285"/>
      <c r="B66" s="280"/>
      <c r="C66" s="74">
        <v>211</v>
      </c>
      <c r="D66" s="88">
        <f>D22</f>
        <v>1240.6587884814624</v>
      </c>
      <c r="E66" s="88">
        <v>0</v>
      </c>
      <c r="F66" s="167">
        <f>F22</f>
        <v>507.06090500733984</v>
      </c>
      <c r="G66" s="126">
        <f>D66+E66+F66</f>
        <v>1747.7196934888022</v>
      </c>
      <c r="H66" s="88">
        <v>0</v>
      </c>
      <c r="I66" s="127">
        <f>G66+H66</f>
        <v>1747.7196934888022</v>
      </c>
      <c r="K66" s="129"/>
    </row>
    <row r="67" spans="1:13" s="128" customFormat="1" ht="12" customHeight="1" x14ac:dyDescent="0.2">
      <c r="A67" s="285"/>
      <c r="B67" s="280"/>
      <c r="C67" s="74">
        <v>213</v>
      </c>
      <c r="D67" s="88">
        <f>D23</f>
        <v>372.71796593867941</v>
      </c>
      <c r="E67" s="88">
        <v>0</v>
      </c>
      <c r="F67" s="167">
        <f>F23</f>
        <v>152.3718019547056</v>
      </c>
      <c r="G67" s="126">
        <f t="shared" ref="G67:G75" si="28">D67+E67+F67</f>
        <v>525.08976789338499</v>
      </c>
      <c r="H67" s="88">
        <v>0</v>
      </c>
      <c r="I67" s="127">
        <f t="shared" ref="I67" si="29">G67+H67</f>
        <v>525.08976789338499</v>
      </c>
      <c r="K67" s="129"/>
    </row>
    <row r="68" spans="1:13" s="128" customFormat="1" ht="12" customHeight="1" x14ac:dyDescent="0.2">
      <c r="A68" s="285"/>
      <c r="B68" s="280"/>
      <c r="C68" s="74">
        <v>212</v>
      </c>
      <c r="D68" s="88">
        <v>0</v>
      </c>
      <c r="E68" s="88">
        <f>E35</f>
        <v>0</v>
      </c>
      <c r="F68" s="167">
        <f>F24</f>
        <v>97.143981666666662</v>
      </c>
      <c r="G68" s="126">
        <f t="shared" si="28"/>
        <v>97.143981666666662</v>
      </c>
      <c r="H68" s="88">
        <v>0</v>
      </c>
      <c r="I68" s="127">
        <f>G68+H68</f>
        <v>97.143981666666662</v>
      </c>
      <c r="K68" s="129"/>
    </row>
    <row r="69" spans="1:13" s="128" customFormat="1" ht="12" customHeight="1" x14ac:dyDescent="0.2">
      <c r="A69" s="285"/>
      <c r="B69" s="280"/>
      <c r="C69" s="74">
        <v>221</v>
      </c>
      <c r="D69" s="88">
        <v>0</v>
      </c>
      <c r="E69" s="88">
        <f t="shared" ref="E69:E72" si="30">E36</f>
        <v>0</v>
      </c>
      <c r="F69" s="167">
        <f t="shared" ref="F69:F74" si="31">F25</f>
        <v>10.688051666666667</v>
      </c>
      <c r="G69" s="126">
        <f t="shared" si="28"/>
        <v>10.688051666666667</v>
      </c>
      <c r="H69" s="88">
        <v>0</v>
      </c>
      <c r="I69" s="127">
        <f t="shared" ref="I69" si="32">G69+H69</f>
        <v>10.688051666666667</v>
      </c>
      <c r="K69" s="129"/>
    </row>
    <row r="70" spans="1:13" s="128" customFormat="1" ht="12" customHeight="1" x14ac:dyDescent="0.2">
      <c r="A70" s="285"/>
      <c r="B70" s="280"/>
      <c r="C70" s="74">
        <v>222</v>
      </c>
      <c r="D70" s="88">
        <v>0</v>
      </c>
      <c r="E70" s="88">
        <f t="shared" si="30"/>
        <v>0</v>
      </c>
      <c r="F70" s="167">
        <f>F37</f>
        <v>16.625</v>
      </c>
      <c r="G70" s="126">
        <f t="shared" si="28"/>
        <v>16.625</v>
      </c>
      <c r="H70" s="88">
        <v>0</v>
      </c>
      <c r="I70" s="127">
        <f>G70+H70</f>
        <v>16.625</v>
      </c>
      <c r="K70" s="129"/>
    </row>
    <row r="71" spans="1:13" s="128" customFormat="1" ht="12" customHeight="1" x14ac:dyDescent="0.2">
      <c r="A71" s="285"/>
      <c r="B71" s="280"/>
      <c r="C71" s="74">
        <v>223</v>
      </c>
      <c r="D71" s="88">
        <v>0</v>
      </c>
      <c r="E71" s="88">
        <f t="shared" si="30"/>
        <v>0</v>
      </c>
      <c r="F71" s="167">
        <f t="shared" si="31"/>
        <v>345.68495016666662</v>
      </c>
      <c r="G71" s="126">
        <f t="shared" si="28"/>
        <v>345.68495016666662</v>
      </c>
      <c r="H71" s="88">
        <f>H27</f>
        <v>137.05951983333335</v>
      </c>
      <c r="I71" s="127">
        <f t="shared" ref="I71:I75" si="33">G71+H71</f>
        <v>482.74446999999998</v>
      </c>
      <c r="K71" s="129"/>
    </row>
    <row r="72" spans="1:13" s="128" customFormat="1" ht="12" customHeight="1" x14ac:dyDescent="0.2">
      <c r="A72" s="285"/>
      <c r="B72" s="280"/>
      <c r="C72" s="74">
        <v>225</v>
      </c>
      <c r="D72" s="88">
        <v>0</v>
      </c>
      <c r="E72" s="88">
        <f t="shared" si="30"/>
        <v>0</v>
      </c>
      <c r="F72" s="167">
        <f t="shared" si="31"/>
        <v>144.74216000000001</v>
      </c>
      <c r="G72" s="126">
        <f t="shared" si="28"/>
        <v>144.74216000000001</v>
      </c>
      <c r="H72" s="88">
        <v>0</v>
      </c>
      <c r="I72" s="127">
        <f t="shared" si="33"/>
        <v>144.74216000000001</v>
      </c>
      <c r="K72" s="129"/>
    </row>
    <row r="73" spans="1:13" s="128" customFormat="1" ht="12" customHeight="1" x14ac:dyDescent="0.2">
      <c r="A73" s="285"/>
      <c r="B73" s="280"/>
      <c r="C73" s="74">
        <v>226</v>
      </c>
      <c r="D73" s="88">
        <v>0</v>
      </c>
      <c r="E73" s="88">
        <v>0</v>
      </c>
      <c r="F73" s="167">
        <f>F51</f>
        <v>32.101666666666667</v>
      </c>
      <c r="G73" s="126">
        <f t="shared" si="28"/>
        <v>32.101666666666667</v>
      </c>
      <c r="H73" s="88">
        <v>0</v>
      </c>
      <c r="I73" s="127">
        <f t="shared" si="33"/>
        <v>32.101666666666667</v>
      </c>
      <c r="K73" s="129"/>
    </row>
    <row r="74" spans="1:13" s="128" customFormat="1" ht="12" customHeight="1" x14ac:dyDescent="0.2">
      <c r="A74" s="285"/>
      <c r="B74" s="280"/>
      <c r="C74" s="74">
        <v>290</v>
      </c>
      <c r="D74" s="88">
        <v>0</v>
      </c>
      <c r="E74" s="88">
        <f t="shared" ref="E74" si="34">E41</f>
        <v>0</v>
      </c>
      <c r="F74" s="167">
        <f t="shared" si="31"/>
        <v>0</v>
      </c>
      <c r="G74" s="126">
        <f t="shared" si="28"/>
        <v>0</v>
      </c>
      <c r="H74" s="88">
        <f>H30</f>
        <v>158.13183333333333</v>
      </c>
      <c r="I74" s="127">
        <f t="shared" si="33"/>
        <v>158.13183333333333</v>
      </c>
      <c r="K74" s="129"/>
    </row>
    <row r="75" spans="1:13" s="128" customFormat="1" ht="12" customHeight="1" x14ac:dyDescent="0.2">
      <c r="A75" s="286"/>
      <c r="B75" s="281"/>
      <c r="C75" s="74">
        <v>340</v>
      </c>
      <c r="D75" s="88">
        <v>0</v>
      </c>
      <c r="E75" s="138">
        <f>E31</f>
        <v>159.86597499999999</v>
      </c>
      <c r="F75" s="138">
        <f>F64</f>
        <v>3.9788366666666666</v>
      </c>
      <c r="G75" s="126">
        <f t="shared" si="28"/>
        <v>163.84481166666666</v>
      </c>
      <c r="H75" s="88">
        <v>0</v>
      </c>
      <c r="I75" s="127">
        <f t="shared" si="33"/>
        <v>163.84481166666666</v>
      </c>
      <c r="K75" s="129"/>
    </row>
    <row r="76" spans="1:13" s="128" customFormat="1" ht="12" customHeight="1" x14ac:dyDescent="0.2">
      <c r="A76" s="278"/>
      <c r="B76" s="288" t="s">
        <v>139</v>
      </c>
      <c r="C76" s="125">
        <v>900</v>
      </c>
      <c r="D76" s="126">
        <f>SUM(D77:D86)</f>
        <v>15349.635278810085</v>
      </c>
      <c r="E76" s="126">
        <f t="shared" ref="E76:H76" si="35">SUM(E77:E86)</f>
        <v>959.19584999999984</v>
      </c>
      <c r="F76" s="166">
        <f t="shared" si="35"/>
        <v>8987.8340734899139</v>
      </c>
      <c r="G76" s="126">
        <f>SUM(G77:G86)</f>
        <v>25296.665202299995</v>
      </c>
      <c r="H76" s="126">
        <f t="shared" si="35"/>
        <v>1771.148119</v>
      </c>
      <c r="I76" s="172">
        <f>SUM(I77:I86)-0.1</f>
        <v>27067.713321299998</v>
      </c>
      <c r="J76" s="129"/>
      <c r="K76" s="129">
        <f>I76</f>
        <v>27067.713321299998</v>
      </c>
      <c r="L76" s="129">
        <f>'прил 2'!C84</f>
        <v>27067.7496713</v>
      </c>
      <c r="M76" s="129">
        <f>K76-L76</f>
        <v>-3.63500000021304E-2</v>
      </c>
    </row>
    <row r="77" spans="1:13" s="128" customFormat="1" ht="12" customHeight="1" x14ac:dyDescent="0.2">
      <c r="A77" s="278"/>
      <c r="B77" s="288"/>
      <c r="C77" s="74">
        <v>211</v>
      </c>
      <c r="D77" s="126">
        <f>D11+D22+D33+D44+D55+D66</f>
        <v>11803.256654217676</v>
      </c>
      <c r="E77" s="126">
        <f>E11+E22+E33+E44+E55+E66</f>
        <v>0</v>
      </c>
      <c r="F77" s="126">
        <f t="shared" ref="F77:H77" si="36">F11+F22+F33+F44+F55+F66</f>
        <v>3223.8059457823247</v>
      </c>
      <c r="G77" s="126">
        <f>G11+G22+G33+G44+G55+G66</f>
        <v>15027.062599999997</v>
      </c>
      <c r="H77" s="126">
        <f t="shared" si="36"/>
        <v>0</v>
      </c>
      <c r="I77" s="172">
        <f>G77+H77</f>
        <v>15027.062599999997</v>
      </c>
      <c r="J77" s="129"/>
      <c r="K77" s="129"/>
    </row>
    <row r="78" spans="1:13" s="128" customFormat="1" ht="12" customHeight="1" x14ac:dyDescent="0.2">
      <c r="A78" s="278"/>
      <c r="B78" s="288"/>
      <c r="C78" s="74">
        <v>213</v>
      </c>
      <c r="D78" s="126">
        <f>D12+D23+D34+D45+D56+D67</f>
        <v>3546.3786245924102</v>
      </c>
      <c r="E78" s="126">
        <f t="shared" ref="D78:H86" si="37">E12+E23+E34+E45+E56+E67</f>
        <v>0</v>
      </c>
      <c r="F78" s="126">
        <f t="shared" si="37"/>
        <v>968.75368670758837</v>
      </c>
      <c r="G78" s="126">
        <f t="shared" si="37"/>
        <v>4515.1323112999989</v>
      </c>
      <c r="H78" s="126">
        <f t="shared" si="37"/>
        <v>0</v>
      </c>
      <c r="I78" s="172">
        <f t="shared" ref="I78:I85" si="38">G78+H78</f>
        <v>4515.1323112999989</v>
      </c>
      <c r="J78" s="129"/>
      <c r="K78" s="129">
        <f>I78</f>
        <v>4515.1323112999989</v>
      </c>
      <c r="L78" s="129">
        <v>4515.1000000000004</v>
      </c>
      <c r="M78" s="129">
        <f>K78-L78</f>
        <v>3.2311299998582399E-2</v>
      </c>
    </row>
    <row r="79" spans="1:13" s="128" customFormat="1" ht="12" customHeight="1" x14ac:dyDescent="0.2">
      <c r="A79" s="278"/>
      <c r="B79" s="288"/>
      <c r="C79" s="74">
        <v>212</v>
      </c>
      <c r="D79" s="126">
        <f t="shared" si="37"/>
        <v>0</v>
      </c>
      <c r="E79" s="126">
        <f t="shared" si="37"/>
        <v>0</v>
      </c>
      <c r="F79" s="126">
        <f t="shared" si="37"/>
        <v>582.86388999999997</v>
      </c>
      <c r="G79" s="126">
        <f t="shared" si="37"/>
        <v>582.86388999999997</v>
      </c>
      <c r="H79" s="126">
        <f t="shared" si="37"/>
        <v>0</v>
      </c>
      <c r="I79" s="172">
        <f t="shared" si="38"/>
        <v>582.86388999999997</v>
      </c>
      <c r="J79" s="129"/>
      <c r="K79" s="129"/>
    </row>
    <row r="80" spans="1:13" s="128" customFormat="1" ht="12" customHeight="1" x14ac:dyDescent="0.2">
      <c r="A80" s="278"/>
      <c r="B80" s="288"/>
      <c r="C80" s="74">
        <v>221</v>
      </c>
      <c r="D80" s="126">
        <f t="shared" si="37"/>
        <v>0</v>
      </c>
      <c r="E80" s="126">
        <f t="shared" si="37"/>
        <v>0</v>
      </c>
      <c r="F80" s="126">
        <f t="shared" si="37"/>
        <v>64.128309999999999</v>
      </c>
      <c r="G80" s="126">
        <f t="shared" si="37"/>
        <v>64.128309999999999</v>
      </c>
      <c r="H80" s="126">
        <f t="shared" si="37"/>
        <v>0</v>
      </c>
      <c r="I80" s="172">
        <f>G80+H80</f>
        <v>64.128309999999999</v>
      </c>
      <c r="J80" s="129"/>
      <c r="K80" s="129"/>
    </row>
    <row r="81" spans="1:13" s="128" customFormat="1" ht="12" customHeight="1" x14ac:dyDescent="0.2">
      <c r="A81" s="278"/>
      <c r="B81" s="288"/>
      <c r="C81" s="74">
        <v>222</v>
      </c>
      <c r="D81" s="126">
        <f t="shared" si="37"/>
        <v>0</v>
      </c>
      <c r="E81" s="126">
        <f t="shared" si="37"/>
        <v>0</v>
      </c>
      <c r="F81" s="126">
        <f t="shared" si="37"/>
        <v>99.75</v>
      </c>
      <c r="G81" s="126">
        <f t="shared" si="37"/>
        <v>99.75</v>
      </c>
      <c r="H81" s="126">
        <f t="shared" si="37"/>
        <v>0</v>
      </c>
      <c r="I81" s="172">
        <f t="shared" si="38"/>
        <v>99.75</v>
      </c>
      <c r="J81" s="129"/>
      <c r="K81" s="129"/>
    </row>
    <row r="82" spans="1:13" s="128" customFormat="1" ht="12" customHeight="1" x14ac:dyDescent="0.2">
      <c r="A82" s="278"/>
      <c r="B82" s="288"/>
      <c r="C82" s="74">
        <v>223</v>
      </c>
      <c r="D82" s="126">
        <f t="shared" si="37"/>
        <v>0</v>
      </c>
      <c r="E82" s="126">
        <f t="shared" si="37"/>
        <v>0</v>
      </c>
      <c r="F82" s="126">
        <f t="shared" si="37"/>
        <v>2074.1097009999999</v>
      </c>
      <c r="G82" s="126">
        <f t="shared" si="37"/>
        <v>2074.1097009999999</v>
      </c>
      <c r="H82" s="126">
        <f t="shared" si="37"/>
        <v>822.35711900000001</v>
      </c>
      <c r="I82" s="172">
        <f t="shared" si="38"/>
        <v>2896.4668199999996</v>
      </c>
      <c r="J82" s="129"/>
      <c r="K82" s="129"/>
    </row>
    <row r="83" spans="1:13" s="128" customFormat="1" ht="12" customHeight="1" x14ac:dyDescent="0.2">
      <c r="A83" s="278"/>
      <c r="B83" s="288"/>
      <c r="C83" s="74">
        <v>225</v>
      </c>
      <c r="D83" s="126">
        <f t="shared" si="37"/>
        <v>0</v>
      </c>
      <c r="E83" s="126">
        <f t="shared" si="37"/>
        <v>0</v>
      </c>
      <c r="F83" s="126">
        <f t="shared" si="37"/>
        <v>868.45296000000008</v>
      </c>
      <c r="G83" s="126">
        <f t="shared" si="37"/>
        <v>868.45296000000008</v>
      </c>
      <c r="H83" s="126">
        <f t="shared" si="37"/>
        <v>0</v>
      </c>
      <c r="I83" s="172">
        <f t="shared" si="38"/>
        <v>868.45296000000008</v>
      </c>
      <c r="J83" s="129"/>
      <c r="K83" s="129"/>
    </row>
    <row r="84" spans="1:13" s="128" customFormat="1" ht="12" customHeight="1" x14ac:dyDescent="0.2">
      <c r="A84" s="278"/>
      <c r="B84" s="288"/>
      <c r="C84" s="74">
        <v>226</v>
      </c>
      <c r="D84" s="126">
        <f t="shared" si="37"/>
        <v>0</v>
      </c>
      <c r="E84" s="126">
        <f t="shared" si="37"/>
        <v>0</v>
      </c>
      <c r="F84" s="126">
        <f t="shared" si="37"/>
        <v>1082.09656</v>
      </c>
      <c r="G84" s="126">
        <f t="shared" si="37"/>
        <v>1082.09656</v>
      </c>
      <c r="H84" s="126">
        <f t="shared" si="37"/>
        <v>0</v>
      </c>
      <c r="I84" s="172">
        <f t="shared" si="38"/>
        <v>1082.09656</v>
      </c>
      <c r="J84" s="129"/>
      <c r="K84" s="129"/>
    </row>
    <row r="85" spans="1:13" s="128" customFormat="1" ht="12" customHeight="1" x14ac:dyDescent="0.2">
      <c r="A85" s="278"/>
      <c r="B85" s="288"/>
      <c r="C85" s="74">
        <v>290</v>
      </c>
      <c r="D85" s="126">
        <f t="shared" si="37"/>
        <v>0</v>
      </c>
      <c r="E85" s="126">
        <f t="shared" si="37"/>
        <v>0</v>
      </c>
      <c r="F85" s="126">
        <f t="shared" si="37"/>
        <v>0</v>
      </c>
      <c r="G85" s="126">
        <f t="shared" si="37"/>
        <v>0</v>
      </c>
      <c r="H85" s="126">
        <f t="shared" si="37"/>
        <v>948.79100000000005</v>
      </c>
      <c r="I85" s="172">
        <f t="shared" si="38"/>
        <v>948.79100000000005</v>
      </c>
      <c r="J85" s="129"/>
      <c r="K85" s="129"/>
    </row>
    <row r="86" spans="1:13" s="128" customFormat="1" ht="12" customHeight="1" thickBot="1" x14ac:dyDescent="0.25">
      <c r="A86" s="287"/>
      <c r="B86" s="289"/>
      <c r="C86" s="130">
        <v>340</v>
      </c>
      <c r="D86" s="126">
        <f t="shared" si="37"/>
        <v>0</v>
      </c>
      <c r="E86" s="126">
        <f t="shared" si="37"/>
        <v>959.19584999999984</v>
      </c>
      <c r="F86" s="126">
        <f t="shared" si="37"/>
        <v>23.87302</v>
      </c>
      <c r="G86" s="126">
        <f>G20+G31+G42+G53+G64+G75</f>
        <v>983.06886999999983</v>
      </c>
      <c r="H86" s="126">
        <f t="shared" si="37"/>
        <v>0</v>
      </c>
      <c r="I86" s="172">
        <f>G86+H86</f>
        <v>983.06886999999983</v>
      </c>
      <c r="J86" s="129"/>
      <c r="K86" s="129"/>
      <c r="M86" s="129"/>
    </row>
    <row r="88" spans="1:13" x14ac:dyDescent="0.25">
      <c r="F88" s="139"/>
    </row>
    <row r="90" spans="1:13" x14ac:dyDescent="0.25">
      <c r="F90" s="139"/>
    </row>
  </sheetData>
  <mergeCells count="19">
    <mergeCell ref="A54:A64"/>
    <mergeCell ref="B54:B64"/>
    <mergeCell ref="A76:A86"/>
    <mergeCell ref="B76:B86"/>
    <mergeCell ref="A21:A31"/>
    <mergeCell ref="B21:B31"/>
    <mergeCell ref="A32:A42"/>
    <mergeCell ref="B32:B42"/>
    <mergeCell ref="A43:A53"/>
    <mergeCell ref="B43:B53"/>
    <mergeCell ref="A65:A75"/>
    <mergeCell ref="B65:B75"/>
    <mergeCell ref="A10:A20"/>
    <mergeCell ref="B10:B20"/>
    <mergeCell ref="G2:I2"/>
    <mergeCell ref="G3:I3"/>
    <mergeCell ref="F4:I4"/>
    <mergeCell ref="A6:I6"/>
    <mergeCell ref="A7:I7"/>
  </mergeCells>
  <pageMargins left="0.31496062992125984" right="0.11811023622047245" top="0.15748031496062992" bottom="0.35433070866141736" header="0" footer="0"/>
  <pageSetup paperSize="9" scale="88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5"/>
  <sheetViews>
    <sheetView tabSelected="1" view="pageBreakPreview" zoomScale="90" zoomScaleSheetLayoutView="90" workbookViewId="0">
      <selection sqref="A1:N19"/>
    </sheetView>
  </sheetViews>
  <sheetFormatPr defaultRowHeight="15" x14ac:dyDescent="0.25"/>
  <cols>
    <col min="1" max="1" width="21.42578125" customWidth="1"/>
    <col min="2" max="2" width="11.28515625" customWidth="1"/>
    <col min="3" max="3" width="13.7109375" style="36" customWidth="1"/>
    <col min="4" max="5" width="11.42578125" style="36" customWidth="1"/>
    <col min="6" max="6" width="10" style="36" bestFit="1" customWidth="1"/>
    <col min="7" max="7" width="10.85546875" style="36" customWidth="1"/>
    <col min="8" max="8" width="9.7109375" style="36" customWidth="1"/>
    <col min="9" max="9" width="10.28515625" style="36" customWidth="1"/>
    <col min="10" max="10" width="10.5703125" style="36" customWidth="1"/>
    <col min="11" max="12" width="12.7109375" style="36" customWidth="1"/>
    <col min="13" max="13" width="12.85546875" style="36" customWidth="1"/>
    <col min="14" max="14" width="12.140625" style="36" customWidth="1"/>
  </cols>
  <sheetData>
    <row r="1" spans="1:14" s="49" customFormat="1" ht="11.25" customHeight="1" x14ac:dyDescent="0.2"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230" t="s">
        <v>204</v>
      </c>
    </row>
    <row r="2" spans="1:14" s="49" customFormat="1" ht="11.25" customHeight="1" x14ac:dyDescent="0.2">
      <c r="C2" s="182"/>
      <c r="D2" s="182"/>
      <c r="E2" s="182"/>
      <c r="F2" s="182"/>
      <c r="G2" s="182"/>
      <c r="H2" s="182"/>
      <c r="I2" s="182"/>
      <c r="J2" s="182"/>
      <c r="K2" s="230"/>
      <c r="L2" s="291" t="s">
        <v>205</v>
      </c>
      <c r="M2" s="291"/>
      <c r="N2" s="291"/>
    </row>
    <row r="3" spans="1:14" s="49" customFormat="1" ht="11.25" customHeight="1" x14ac:dyDescent="0.2">
      <c r="C3" s="182"/>
      <c r="D3" s="182"/>
      <c r="E3" s="182"/>
      <c r="F3" s="182"/>
      <c r="G3" s="182"/>
      <c r="H3" s="182"/>
      <c r="I3" s="182"/>
      <c r="J3" s="182"/>
      <c r="K3" s="230"/>
      <c r="L3" s="291" t="s">
        <v>206</v>
      </c>
      <c r="M3" s="291"/>
      <c r="N3" s="291"/>
    </row>
    <row r="4" spans="1:14" s="49" customFormat="1" ht="3.75" customHeight="1" x14ac:dyDescent="0.2">
      <c r="C4" s="182"/>
      <c r="D4" s="182"/>
      <c r="E4" s="182"/>
      <c r="F4" s="182"/>
      <c r="G4" s="182"/>
      <c r="H4" s="182"/>
      <c r="I4" s="182"/>
      <c r="J4" s="182"/>
      <c r="K4" s="291"/>
      <c r="L4" s="291"/>
      <c r="M4" s="291"/>
      <c r="N4" s="291"/>
    </row>
    <row r="5" spans="1:14" s="49" customFormat="1" ht="11.25" hidden="1" customHeight="1" x14ac:dyDescent="0.2">
      <c r="C5" s="182"/>
      <c r="D5" s="182"/>
      <c r="E5" s="182"/>
      <c r="F5" s="182"/>
      <c r="G5" s="182"/>
      <c r="H5" s="182"/>
      <c r="I5" s="182"/>
      <c r="J5" s="230"/>
      <c r="K5" s="230"/>
      <c r="L5" s="230"/>
      <c r="M5" s="230"/>
      <c r="N5" s="182"/>
    </row>
    <row r="6" spans="1:14" s="67" customFormat="1" ht="12.75" x14ac:dyDescent="0.2">
      <c r="A6" s="283" t="s">
        <v>207</v>
      </c>
      <c r="B6" s="283"/>
      <c r="C6" s="283"/>
      <c r="D6" s="283"/>
      <c r="E6" s="283"/>
      <c r="F6" s="283"/>
      <c r="G6" s="283"/>
      <c r="H6" s="283"/>
      <c r="I6" s="283"/>
      <c r="J6" s="283"/>
      <c r="K6" s="283"/>
      <c r="L6" s="283"/>
      <c r="M6" s="283"/>
      <c r="N6" s="79"/>
    </row>
    <row r="7" spans="1:14" ht="9" customHeight="1" thickBot="1" x14ac:dyDescent="0.3">
      <c r="A7" s="91"/>
    </row>
    <row r="8" spans="1:14" s="72" customFormat="1" ht="11.25" x14ac:dyDescent="0.2">
      <c r="A8" s="292" t="s">
        <v>132</v>
      </c>
      <c r="B8" s="293" t="s">
        <v>140</v>
      </c>
      <c r="C8" s="294" t="s">
        <v>141</v>
      </c>
      <c r="D8" s="294" t="s">
        <v>142</v>
      </c>
      <c r="E8" s="294"/>
      <c r="F8" s="294" t="s">
        <v>134</v>
      </c>
      <c r="G8" s="294" t="s">
        <v>178</v>
      </c>
      <c r="H8" s="298" t="s">
        <v>143</v>
      </c>
      <c r="I8" s="294" t="s">
        <v>6</v>
      </c>
      <c r="J8" s="298" t="s">
        <v>136</v>
      </c>
      <c r="K8" s="294" t="s">
        <v>144</v>
      </c>
      <c r="L8" s="294"/>
      <c r="M8" s="294"/>
      <c r="N8" s="296" t="s">
        <v>179</v>
      </c>
    </row>
    <row r="9" spans="1:14" s="72" customFormat="1" ht="81.75" customHeight="1" x14ac:dyDescent="0.2">
      <c r="A9" s="278"/>
      <c r="B9" s="288"/>
      <c r="C9" s="295"/>
      <c r="D9" s="231" t="s">
        <v>145</v>
      </c>
      <c r="E9" s="231" t="s">
        <v>133</v>
      </c>
      <c r="F9" s="295"/>
      <c r="G9" s="295"/>
      <c r="H9" s="299"/>
      <c r="I9" s="295"/>
      <c r="J9" s="299"/>
      <c r="K9" s="231" t="s">
        <v>146</v>
      </c>
      <c r="L9" s="231" t="s">
        <v>134</v>
      </c>
      <c r="M9" s="231" t="s">
        <v>147</v>
      </c>
      <c r="N9" s="297"/>
    </row>
    <row r="10" spans="1:14" s="72" customFormat="1" ht="12.75" customHeight="1" x14ac:dyDescent="0.2">
      <c r="A10" s="278"/>
      <c r="B10" s="288"/>
      <c r="C10" s="231" t="s">
        <v>148</v>
      </c>
      <c r="D10" s="231" t="s">
        <v>148</v>
      </c>
      <c r="E10" s="231" t="s">
        <v>148</v>
      </c>
      <c r="F10" s="231" t="s">
        <v>148</v>
      </c>
      <c r="G10" s="231" t="s">
        <v>148</v>
      </c>
      <c r="H10" s="219" t="s">
        <v>149</v>
      </c>
      <c r="I10" s="231" t="s">
        <v>148</v>
      </c>
      <c r="J10" s="244" t="s">
        <v>148</v>
      </c>
      <c r="K10" s="231" t="s">
        <v>150</v>
      </c>
      <c r="L10" s="231" t="s">
        <v>150</v>
      </c>
      <c r="M10" s="231" t="s">
        <v>151</v>
      </c>
      <c r="N10" s="297"/>
    </row>
    <row r="11" spans="1:14" s="215" customFormat="1" ht="17.25" customHeight="1" x14ac:dyDescent="0.25">
      <c r="A11" s="188">
        <v>1</v>
      </c>
      <c r="B11" s="189" t="s">
        <v>152</v>
      </c>
      <c r="C11" s="231">
        <v>2</v>
      </c>
      <c r="D11" s="231" t="s">
        <v>153</v>
      </c>
      <c r="E11" s="231" t="s">
        <v>154</v>
      </c>
      <c r="F11" s="231">
        <v>3</v>
      </c>
      <c r="G11" s="231">
        <v>4</v>
      </c>
      <c r="H11" s="219">
        <v>5</v>
      </c>
      <c r="I11" s="231">
        <v>6</v>
      </c>
      <c r="J11" s="244">
        <v>7</v>
      </c>
      <c r="K11" s="231" t="s">
        <v>155</v>
      </c>
      <c r="L11" s="231" t="s">
        <v>156</v>
      </c>
      <c r="M11" s="231" t="s">
        <v>157</v>
      </c>
      <c r="N11" s="232" t="s">
        <v>180</v>
      </c>
    </row>
    <row r="12" spans="1:14" s="72" customFormat="1" ht="88.5" customHeight="1" x14ac:dyDescent="0.2">
      <c r="A12" s="217" t="s">
        <v>170</v>
      </c>
      <c r="B12" s="216" t="s">
        <v>175</v>
      </c>
      <c r="C12" s="233">
        <f>D12+E12</f>
        <v>9210.1570133411151</v>
      </c>
      <c r="D12" s="233">
        <f>'прил 3'!D10</f>
        <v>9050.2910383411145</v>
      </c>
      <c r="E12" s="233">
        <f>'прил 3'!E10</f>
        <v>159.86597499999999</v>
      </c>
      <c r="F12" s="233">
        <f>'прил 3'!F10</f>
        <v>2407.5503845130193</v>
      </c>
      <c r="G12" s="233">
        <f>C12+F12</f>
        <v>11617.707397854134</v>
      </c>
      <c r="H12" s="227">
        <v>1</v>
      </c>
      <c r="I12" s="233">
        <f>'прил 3'!H10</f>
        <v>295.19135316666666</v>
      </c>
      <c r="J12" s="227">
        <f t="shared" ref="J12:J17" si="0">G12+I12</f>
        <v>11912.898751020801</v>
      </c>
      <c r="K12" s="233">
        <f>(C12/H12)*1000</f>
        <v>9210157.0133411158</v>
      </c>
      <c r="L12" s="233">
        <f>(F12/H12)*1000</f>
        <v>2407550.3845130191</v>
      </c>
      <c r="M12" s="233">
        <f>K12+L12</f>
        <v>11617707.397854134</v>
      </c>
      <c r="N12" s="241">
        <f>G12/J12</f>
        <v>0.97522086275253772</v>
      </c>
    </row>
    <row r="13" spans="1:14" s="72" customFormat="1" ht="36.75" customHeight="1" x14ac:dyDescent="0.2">
      <c r="A13" s="217" t="s">
        <v>167</v>
      </c>
      <c r="B13" s="216" t="s">
        <v>176</v>
      </c>
      <c r="C13" s="233">
        <f t="shared" ref="C13:C18" si="1">D13+E13</f>
        <v>1773.2427294201418</v>
      </c>
      <c r="D13" s="233">
        <f>'прил 3'!D21</f>
        <v>1613.3767544201419</v>
      </c>
      <c r="E13" s="233">
        <f>'прил 3'!E21</f>
        <v>159.86597499999999</v>
      </c>
      <c r="F13" s="233">
        <f>'прил 3'!F21</f>
        <v>1324.5458137953788</v>
      </c>
      <c r="G13" s="233">
        <f>C13+F13</f>
        <v>3097.7885432155208</v>
      </c>
      <c r="H13" s="227">
        <v>15.67</v>
      </c>
      <c r="I13" s="233">
        <f>'прил 3'!H21</f>
        <v>295.19135316666666</v>
      </c>
      <c r="J13" s="227">
        <f t="shared" si="0"/>
        <v>3392.9798963821877</v>
      </c>
      <c r="K13" s="233">
        <f t="shared" ref="K13:K17" si="2">(C13/H13)*1000</f>
        <v>113161.62919081951</v>
      </c>
      <c r="L13" s="233">
        <f t="shared" ref="L13:L17" si="3">(F13/H13)*1000</f>
        <v>84527.492903342616</v>
      </c>
      <c r="M13" s="233">
        <f>K13+L13</f>
        <v>197689.12209416213</v>
      </c>
      <c r="N13" s="241">
        <f t="shared" ref="N13:N17" si="4">G13/J13</f>
        <v>0.91299938043210371</v>
      </c>
    </row>
    <row r="14" spans="1:14" s="72" customFormat="1" ht="72.75" customHeight="1" x14ac:dyDescent="0.2">
      <c r="A14" s="217" t="s">
        <v>203</v>
      </c>
      <c r="B14" s="216" t="s">
        <v>202</v>
      </c>
      <c r="C14" s="233">
        <f>C15+C16+C17</f>
        <v>3552.1886566286876</v>
      </c>
      <c r="D14" s="233">
        <f t="shared" ref="D14:M14" si="5">D15+D16+D17</f>
        <v>3072.5907316286875</v>
      </c>
      <c r="E14" s="233">
        <f t="shared" si="5"/>
        <v>479.59792499999998</v>
      </c>
      <c r="F14" s="233">
        <f t="shared" si="5"/>
        <v>3945.3405213861365</v>
      </c>
      <c r="G14" s="233">
        <f t="shared" si="5"/>
        <v>7497.5291780148236</v>
      </c>
      <c r="H14" s="233">
        <f t="shared" si="5"/>
        <v>130.5</v>
      </c>
      <c r="I14" s="233">
        <f t="shared" si="5"/>
        <v>885.57405949999998</v>
      </c>
      <c r="J14" s="227">
        <f t="shared" si="5"/>
        <v>8383.1032375148243</v>
      </c>
      <c r="K14" s="233">
        <f t="shared" si="5"/>
        <v>433647.1170063552</v>
      </c>
      <c r="L14" s="233">
        <f t="shared" si="5"/>
        <v>480198.38715989899</v>
      </c>
      <c r="M14" s="233">
        <f t="shared" si="5"/>
        <v>913845.50416625431</v>
      </c>
      <c r="N14" s="233">
        <f>(N15+N16+N17)/3</f>
        <v>0.89436142309527111</v>
      </c>
    </row>
    <row r="15" spans="1:14" s="67" customFormat="1" ht="93.75" customHeight="1" x14ac:dyDescent="0.2">
      <c r="A15" s="220" t="s">
        <v>199</v>
      </c>
      <c r="B15" s="223" t="s">
        <v>176</v>
      </c>
      <c r="C15" s="234">
        <f t="shared" si="1"/>
        <v>1184.0628855428959</v>
      </c>
      <c r="D15" s="234">
        <f>'прил 3'!D32</f>
        <v>1024.1969105428959</v>
      </c>
      <c r="E15" s="234">
        <f>'прил 3'!E32</f>
        <v>159.86597499999999</v>
      </c>
      <c r="F15" s="234">
        <f>'прил 3'!F32</f>
        <v>1310.3973537953789</v>
      </c>
      <c r="G15" s="234">
        <f t="shared" ref="G15:G16" si="6">C15+F15</f>
        <v>2494.4602393382747</v>
      </c>
      <c r="H15" s="224">
        <v>77.5</v>
      </c>
      <c r="I15" s="234">
        <f>'прил 3'!H32</f>
        <v>295.19135316666666</v>
      </c>
      <c r="J15" s="224">
        <f t="shared" si="0"/>
        <v>2789.6515925049416</v>
      </c>
      <c r="K15" s="234">
        <f t="shared" si="2"/>
        <v>15278.230781198657</v>
      </c>
      <c r="L15" s="234">
        <f t="shared" si="3"/>
        <v>16908.352952198438</v>
      </c>
      <c r="M15" s="234">
        <f t="shared" ref="M15:M17" si="7">K15+L15</f>
        <v>32186.583733397096</v>
      </c>
      <c r="N15" s="242">
        <f t="shared" si="4"/>
        <v>0.8941834335299188</v>
      </c>
    </row>
    <row r="16" spans="1:14" s="67" customFormat="1" ht="74.25" customHeight="1" x14ac:dyDescent="0.2">
      <c r="A16" s="221" t="s">
        <v>200</v>
      </c>
      <c r="B16" s="223" t="s">
        <v>175</v>
      </c>
      <c r="C16" s="234">
        <f t="shared" si="1"/>
        <v>1184.0628855428959</v>
      </c>
      <c r="D16" s="234">
        <f>'прил 3'!D43</f>
        <v>1024.1969105428959</v>
      </c>
      <c r="E16" s="234">
        <f>'прил 3'!E43</f>
        <v>159.86597499999999</v>
      </c>
      <c r="F16" s="234">
        <f>'прил 3'!F43</f>
        <v>1310.3973537953789</v>
      </c>
      <c r="G16" s="234">
        <f t="shared" si="6"/>
        <v>2494.4602393382747</v>
      </c>
      <c r="H16" s="224">
        <v>3</v>
      </c>
      <c r="I16" s="234">
        <f>'прил 3'!H43</f>
        <v>295.19135316666666</v>
      </c>
      <c r="J16" s="224">
        <f t="shared" si="0"/>
        <v>2789.6515925049416</v>
      </c>
      <c r="K16" s="234">
        <f t="shared" si="2"/>
        <v>394687.62851429865</v>
      </c>
      <c r="L16" s="234">
        <f t="shared" si="3"/>
        <v>436799.11793179298</v>
      </c>
      <c r="M16" s="234">
        <f t="shared" si="7"/>
        <v>831486.74644609168</v>
      </c>
      <c r="N16" s="242">
        <f t="shared" si="4"/>
        <v>0.8941834335299188</v>
      </c>
    </row>
    <row r="17" spans="1:14" s="67" customFormat="1" ht="53.25" customHeight="1" x14ac:dyDescent="0.2">
      <c r="A17" s="222" t="s">
        <v>201</v>
      </c>
      <c r="B17" s="225" t="s">
        <v>177</v>
      </c>
      <c r="C17" s="234">
        <f t="shared" si="1"/>
        <v>1184.0628855428959</v>
      </c>
      <c r="D17" s="235">
        <f>'прил 3'!D54</f>
        <v>1024.1969105428959</v>
      </c>
      <c r="E17" s="235">
        <f>'прил 3'!E54</f>
        <v>159.86597499999999</v>
      </c>
      <c r="F17" s="235">
        <f>'прил 3'!F54</f>
        <v>1324.5458137953788</v>
      </c>
      <c r="G17" s="234">
        <f>C17+F17</f>
        <v>2508.6086993382746</v>
      </c>
      <c r="H17" s="226">
        <v>50</v>
      </c>
      <c r="I17" s="234">
        <f>'прил 3'!H54</f>
        <v>295.19135316666666</v>
      </c>
      <c r="J17" s="224">
        <f t="shared" si="0"/>
        <v>2803.800052504941</v>
      </c>
      <c r="K17" s="234">
        <f t="shared" si="2"/>
        <v>23681.257710857917</v>
      </c>
      <c r="L17" s="234">
        <f t="shared" si="3"/>
        <v>26490.916275907577</v>
      </c>
      <c r="M17" s="234">
        <f t="shared" si="7"/>
        <v>50172.173986765498</v>
      </c>
      <c r="N17" s="242">
        <f t="shared" si="4"/>
        <v>0.89471740222597551</v>
      </c>
    </row>
    <row r="18" spans="1:14" s="67" customFormat="1" ht="78" customHeight="1" x14ac:dyDescent="0.2">
      <c r="A18" s="218" t="s">
        <v>193</v>
      </c>
      <c r="B18" s="228" t="s">
        <v>197</v>
      </c>
      <c r="C18" s="233">
        <f t="shared" si="1"/>
        <v>1773.2427294201418</v>
      </c>
      <c r="D18" s="236">
        <f>'прил 3'!D65</f>
        <v>1613.3767544201419</v>
      </c>
      <c r="E18" s="236">
        <f>'прил 3'!E65</f>
        <v>159.86597499999999</v>
      </c>
      <c r="F18" s="236">
        <f>'прил 3'!F65</f>
        <v>1310.3973537953789</v>
      </c>
      <c r="G18" s="233">
        <f>C18+F18</f>
        <v>3083.6400832155205</v>
      </c>
      <c r="H18" s="229">
        <v>40828</v>
      </c>
      <c r="I18" s="233">
        <f>'прил 3'!H65</f>
        <v>295.19135316666666</v>
      </c>
      <c r="J18" s="227">
        <f>G18+I18</f>
        <v>3378.8314363821873</v>
      </c>
      <c r="K18" s="233">
        <f>(C18/H18)*1000</f>
        <v>43.432025311554369</v>
      </c>
      <c r="L18" s="233">
        <f t="shared" ref="L18" si="8">(F18/H18)*1000</f>
        <v>32.095555839016825</v>
      </c>
      <c r="M18" s="233">
        <f t="shared" ref="M18" si="9">K18+L18</f>
        <v>75.527581150571194</v>
      </c>
      <c r="N18" s="241">
        <f t="shared" ref="N18" si="10">G18/J18</f>
        <v>0.91263507555063572</v>
      </c>
    </row>
    <row r="19" spans="1:14" s="67" customFormat="1" ht="30" customHeight="1" thickBot="1" x14ac:dyDescent="0.25">
      <c r="A19" s="89" t="s">
        <v>158</v>
      </c>
      <c r="B19" s="90"/>
      <c r="C19" s="237">
        <f>D19+E19</f>
        <v>16308.831128810087</v>
      </c>
      <c r="D19" s="237">
        <f>D15+D13+D12+D16+D17+D18</f>
        <v>15349.635278810087</v>
      </c>
      <c r="E19" s="237">
        <f t="shared" ref="E19:F19" si="11">E15+E13+E12+E16+E17+E18</f>
        <v>959.19584999999984</v>
      </c>
      <c r="F19" s="237">
        <f t="shared" si="11"/>
        <v>8987.8340734899139</v>
      </c>
      <c r="G19" s="237">
        <f>C19+F19</f>
        <v>25296.665202299999</v>
      </c>
      <c r="H19" s="198">
        <f>H12+H13+H15+H16+H17+H18</f>
        <v>40975.17</v>
      </c>
      <c r="I19" s="198">
        <f>I15+I13+I12+I16+I17+I18</f>
        <v>1771.148119</v>
      </c>
      <c r="J19" s="198">
        <f>G19+I19</f>
        <v>27067.8133213</v>
      </c>
      <c r="K19" s="198">
        <f>C19/H19*1000</f>
        <v>398.01741222330713</v>
      </c>
      <c r="L19" s="198">
        <f>F19/H19*1000</f>
        <v>219.34830468036898</v>
      </c>
      <c r="M19" s="198">
        <f>K19+L19</f>
        <v>617.36571690367612</v>
      </c>
      <c r="N19" s="243">
        <f>G19/J19</f>
        <v>0.93456626518085739</v>
      </c>
    </row>
    <row r="20" spans="1:14" ht="15.75" hidden="1" x14ac:dyDescent="0.25">
      <c r="A20" s="92" t="s">
        <v>159</v>
      </c>
      <c r="B20" s="92"/>
      <c r="C20" s="183"/>
      <c r="D20" s="183"/>
      <c r="E20" s="183"/>
      <c r="F20" s="183"/>
      <c r="G20" s="183"/>
      <c r="H20" s="183"/>
      <c r="I20" s="183"/>
      <c r="J20" s="183"/>
      <c r="K20" s="183"/>
      <c r="L20" s="183"/>
      <c r="M20" s="238">
        <f t="shared" ref="M20:M31" si="12">K20+L20</f>
        <v>0</v>
      </c>
    </row>
    <row r="21" spans="1:14" ht="15.75" hidden="1" x14ac:dyDescent="0.25">
      <c r="A21" s="93" t="s">
        <v>160</v>
      </c>
      <c r="B21" s="93"/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239">
        <f t="shared" si="12"/>
        <v>0</v>
      </c>
    </row>
    <row r="22" spans="1:14" ht="31.5" hidden="1" x14ac:dyDescent="0.25">
      <c r="A22" s="93" t="s">
        <v>161</v>
      </c>
      <c r="B22" s="93"/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239">
        <f t="shared" si="12"/>
        <v>0</v>
      </c>
    </row>
    <row r="23" spans="1:14" ht="15.75" hidden="1" x14ac:dyDescent="0.25">
      <c r="A23" s="93" t="s">
        <v>159</v>
      </c>
      <c r="B23" s="93"/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M23" s="239">
        <f t="shared" si="12"/>
        <v>0</v>
      </c>
    </row>
    <row r="24" spans="1:14" ht="15.75" hidden="1" x14ac:dyDescent="0.25">
      <c r="A24" s="93" t="s">
        <v>160</v>
      </c>
      <c r="B24" s="93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239">
        <f t="shared" si="12"/>
        <v>0</v>
      </c>
    </row>
    <row r="25" spans="1:14" ht="31.5" hidden="1" x14ac:dyDescent="0.25">
      <c r="A25" s="93" t="s">
        <v>162</v>
      </c>
      <c r="B25" s="93"/>
      <c r="C25" s="184"/>
      <c r="D25" s="184"/>
      <c r="E25" s="184"/>
      <c r="F25" s="184"/>
      <c r="G25" s="184"/>
      <c r="H25" s="184"/>
      <c r="I25" s="184"/>
      <c r="J25" s="184"/>
      <c r="K25" s="184"/>
      <c r="L25" s="184"/>
      <c r="M25" s="239">
        <f t="shared" si="12"/>
        <v>0</v>
      </c>
    </row>
    <row r="26" spans="1:14" ht="15.75" hidden="1" x14ac:dyDescent="0.25">
      <c r="A26" s="93" t="s">
        <v>159</v>
      </c>
      <c r="B26" s="93"/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239">
        <f t="shared" si="12"/>
        <v>0</v>
      </c>
    </row>
    <row r="27" spans="1:14" ht="15.75" hidden="1" x14ac:dyDescent="0.25">
      <c r="A27" s="93" t="s">
        <v>160</v>
      </c>
      <c r="B27" s="93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239">
        <f t="shared" si="12"/>
        <v>0</v>
      </c>
    </row>
    <row r="28" spans="1:14" ht="31.5" hidden="1" x14ac:dyDescent="0.25">
      <c r="A28" s="93" t="s">
        <v>163</v>
      </c>
      <c r="B28" s="93"/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239">
        <f t="shared" si="12"/>
        <v>0</v>
      </c>
    </row>
    <row r="29" spans="1:14" ht="15.75" hidden="1" x14ac:dyDescent="0.25">
      <c r="A29" s="93" t="s">
        <v>159</v>
      </c>
      <c r="B29" s="93"/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239">
        <f t="shared" si="12"/>
        <v>0</v>
      </c>
    </row>
    <row r="30" spans="1:14" ht="15.75" hidden="1" x14ac:dyDescent="0.25">
      <c r="A30" s="93" t="s">
        <v>160</v>
      </c>
      <c r="B30" s="93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239">
        <f t="shared" si="12"/>
        <v>0</v>
      </c>
    </row>
    <row r="31" spans="1:14" ht="31.5" hidden="1" x14ac:dyDescent="0.25">
      <c r="A31" s="93" t="s">
        <v>164</v>
      </c>
      <c r="B31" s="93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239">
        <f t="shared" si="12"/>
        <v>0</v>
      </c>
    </row>
    <row r="32" spans="1:14" ht="37.5" customHeight="1" x14ac:dyDescent="0.25">
      <c r="A32" s="94"/>
    </row>
    <row r="33" spans="1:14" s="290" customFormat="1" ht="33" customHeight="1" x14ac:dyDescent="0.25">
      <c r="A33" s="290" t="s">
        <v>191</v>
      </c>
    </row>
    <row r="34" spans="1:14" s="185" customFormat="1" ht="15.75" x14ac:dyDescent="0.25">
      <c r="A34" s="187" t="s">
        <v>198</v>
      </c>
      <c r="B34" s="187"/>
      <c r="C34" s="240"/>
      <c r="D34" s="240"/>
      <c r="E34" s="240"/>
      <c r="F34" s="240"/>
      <c r="G34" s="240"/>
      <c r="H34" s="240"/>
      <c r="I34" s="240"/>
      <c r="J34" s="240"/>
      <c r="K34" s="240"/>
      <c r="L34" s="186"/>
      <c r="M34" s="186"/>
      <c r="N34" s="186"/>
    </row>
    <row r="35" spans="1:14" s="185" customFormat="1" ht="15.75" x14ac:dyDescent="0.25">
      <c r="A35" s="187" t="s">
        <v>192</v>
      </c>
      <c r="C35" s="186"/>
      <c r="D35" s="186"/>
      <c r="E35" s="186"/>
      <c r="F35" s="186"/>
      <c r="G35" s="186"/>
      <c r="H35" s="186"/>
      <c r="I35" s="186"/>
      <c r="J35" s="186"/>
      <c r="K35" s="186"/>
      <c r="L35" s="186"/>
      <c r="M35" s="186"/>
      <c r="N35" s="186"/>
    </row>
  </sheetData>
  <mergeCells count="16">
    <mergeCell ref="A33:XFD33"/>
    <mergeCell ref="L2:N2"/>
    <mergeCell ref="L3:N3"/>
    <mergeCell ref="K4:N4"/>
    <mergeCell ref="A6:M6"/>
    <mergeCell ref="A8:A10"/>
    <mergeCell ref="B8:B10"/>
    <mergeCell ref="C8:C9"/>
    <mergeCell ref="D8:E8"/>
    <mergeCell ref="F8:F9"/>
    <mergeCell ref="G8:G9"/>
    <mergeCell ref="N8:N10"/>
    <mergeCell ref="H8:H9"/>
    <mergeCell ref="I8:I9"/>
    <mergeCell ref="J8:J9"/>
    <mergeCell ref="K8:M8"/>
  </mergeCells>
  <pageMargins left="0.31496062992125984" right="0" top="0.15748031496062992" bottom="0.15748031496062992" header="0.31496062992125984" footer="0.31496062992125984"/>
  <pageSetup paperSize="9" scale="8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E12" sqref="E12"/>
    </sheetView>
  </sheetViews>
  <sheetFormatPr defaultRowHeight="15" x14ac:dyDescent="0.25"/>
  <cols>
    <col min="2" max="2" width="15.140625" style="36" customWidth="1"/>
    <col min="3" max="3" width="9.140625" style="36"/>
  </cols>
  <sheetData>
    <row r="2" spans="1:3" x14ac:dyDescent="0.25">
      <c r="C2" s="36">
        <v>27067.74</v>
      </c>
    </row>
    <row r="3" spans="1:3" x14ac:dyDescent="0.25">
      <c r="B3" s="36">
        <v>27067749.670000002</v>
      </c>
      <c r="C3" s="36">
        <v>100</v>
      </c>
    </row>
    <row r="4" spans="1:3" x14ac:dyDescent="0.25">
      <c r="A4">
        <v>1</v>
      </c>
      <c r="B4" s="245">
        <f>B3*C4%+30</f>
        <v>11912934.255905479</v>
      </c>
      <c r="C4" s="36">
        <f>11912.9/C2*100</f>
        <v>44.011432058974997</v>
      </c>
    </row>
    <row r="5" spans="1:3" x14ac:dyDescent="0.25">
      <c r="A5">
        <v>2</v>
      </c>
      <c r="B5" s="245">
        <f>B3*C5%</f>
        <v>3392981.2121483581</v>
      </c>
      <c r="C5" s="36">
        <f>3392.98/C2*100</f>
        <v>12.535143310819446</v>
      </c>
    </row>
    <row r="6" spans="1:3" x14ac:dyDescent="0.25">
      <c r="A6">
        <v>3</v>
      </c>
      <c r="B6" s="245">
        <f>B3*C6%</f>
        <v>8383102.9948779251</v>
      </c>
      <c r="C6" s="36">
        <f>8383.1/C2*100</f>
        <v>30.970816181919879</v>
      </c>
    </row>
    <row r="7" spans="1:3" x14ac:dyDescent="0.25">
      <c r="A7">
        <v>4</v>
      </c>
      <c r="B7" s="245">
        <f>B3*C7%</f>
        <v>3378731.2070575198</v>
      </c>
      <c r="C7" s="36">
        <f>3378.73/C2*100</f>
        <v>12.482497615242352</v>
      </c>
    </row>
    <row r="8" spans="1:3" x14ac:dyDescent="0.25">
      <c r="B8" s="36">
        <f>SUM(B4:B7)</f>
        <v>27067749.66998928</v>
      </c>
    </row>
    <row r="10" spans="1:3" x14ac:dyDescent="0.25">
      <c r="B10" s="36">
        <f>B3-B8</f>
        <v>1.0721385478973389E-5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3</vt:i4>
      </vt:variant>
    </vt:vector>
  </HeadingPairs>
  <TitlesOfParts>
    <vt:vector size="10" baseType="lpstr">
      <vt:lpstr>ЗП</vt:lpstr>
      <vt:lpstr>ГОРЛЕС</vt:lpstr>
      <vt:lpstr>прил 1</vt:lpstr>
      <vt:lpstr>прил 2</vt:lpstr>
      <vt:lpstr>прил 3</vt:lpstr>
      <vt:lpstr>прил 4</vt:lpstr>
      <vt:lpstr>Лист5</vt:lpstr>
      <vt:lpstr>'прил 1'!Область_печати</vt:lpstr>
      <vt:lpstr>'прил 2'!Область_печати</vt:lpstr>
      <vt:lpstr>'прил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2020-03-20T09:35:16Z</dcterms:modified>
</cp:coreProperties>
</file>